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enny/Downloads/"/>
    </mc:Choice>
  </mc:AlternateContent>
  <xr:revisionPtr revIDLastSave="0" documentId="13_ncr:1_{2908373E-134E-9048-AEA2-8C8116F43510}" xr6:coauthVersionLast="47" xr6:coauthVersionMax="47" xr10:uidLastSave="{00000000-0000-0000-0000-000000000000}"/>
  <bookViews>
    <workbookView xWindow="0" yWindow="660" windowWidth="30240" windowHeight="16740" xr2:uid="{00000000-000D-0000-FFFF-FFFF00000000}"/>
  </bookViews>
  <sheets>
    <sheet name="Anthropic" sheetId="1" r:id="rId1"/>
    <sheet name="OpenAI" sheetId="2" r:id="rId2"/>
    <sheet name="Z.ai" sheetId="3" r:id="rId3"/>
    <sheet name="Minimax" sheetId="4" r:id="rId4"/>
    <sheet name="Margin Model" sheetId="5" r:id="rId5"/>
    <sheet name="Sources &gt;&gt;" sheetId="6" r:id="rId6"/>
    <sheet name="GLM-5.2 Combined" sheetId="7" r:id="rId7"/>
    <sheet name="Ed Zitron Work" sheetId="8" r:id="rId8"/>
    <sheet name="Press Pull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I34" i="1"/>
  <c r="D34" i="1" s="1"/>
  <c r="G205" i="1"/>
  <c r="G204" i="1"/>
  <c r="D122" i="1"/>
  <c r="E122" i="1" s="1"/>
  <c r="E84" i="5"/>
  <c r="D84" i="5"/>
  <c r="C84" i="5"/>
  <c r="E83" i="5"/>
  <c r="D83" i="5"/>
  <c r="C83" i="5"/>
  <c r="E82" i="5"/>
  <c r="D82" i="5"/>
  <c r="C82" i="5"/>
  <c r="E81" i="5"/>
  <c r="D81" i="5"/>
  <c r="C81" i="5"/>
  <c r="E80" i="5"/>
  <c r="D80" i="5"/>
  <c r="C80" i="5"/>
  <c r="E79" i="5"/>
  <c r="D79" i="5"/>
  <c r="C79" i="5"/>
  <c r="E78" i="5"/>
  <c r="D78" i="5"/>
  <c r="C78" i="5"/>
  <c r="E77" i="5"/>
  <c r="D77" i="5"/>
  <c r="C77" i="5"/>
  <c r="E76" i="5"/>
  <c r="D76" i="5"/>
  <c r="A85" i="5"/>
  <c r="C76" i="5"/>
  <c r="E74" i="5"/>
  <c r="D74" i="5"/>
  <c r="C74" i="5"/>
  <c r="E73" i="5"/>
  <c r="D73" i="5"/>
  <c r="C73" i="5"/>
  <c r="E72" i="5"/>
  <c r="D72" i="5"/>
  <c r="C72" i="5"/>
  <c r="B94" i="7"/>
  <c r="B67" i="4"/>
  <c r="B38" i="5"/>
  <c r="B36" i="5"/>
  <c r="B34" i="5"/>
  <c r="D65" i="2"/>
  <c r="H23" i="2"/>
  <c r="G23" i="2"/>
  <c r="F23" i="2"/>
  <c r="B46" i="3"/>
  <c r="D42" i="2"/>
  <c r="F120" i="1"/>
  <c r="F119" i="1" s="1"/>
  <c r="E120" i="1"/>
  <c r="E119" i="1" s="1"/>
  <c r="C22" i="2"/>
  <c r="D22" i="2" s="1"/>
  <c r="E22" i="2" s="1"/>
  <c r="F22" i="2" s="1"/>
  <c r="G22" i="2" s="1"/>
  <c r="D103" i="2"/>
  <c r="P13" i="9"/>
  <c r="M13" i="9"/>
  <c r="N13" i="9" s="1"/>
  <c r="O13" i="9" s="1"/>
  <c r="M12" i="9"/>
  <c r="M11" i="9"/>
  <c r="M10" i="9"/>
  <c r="M9" i="9"/>
  <c r="L9" i="9"/>
  <c r="M8" i="9"/>
  <c r="M7" i="9"/>
  <c r="M6" i="9"/>
  <c r="M5" i="9"/>
  <c r="M4" i="9"/>
  <c r="M3" i="9"/>
  <c r="L3" i="9"/>
  <c r="B22" i="8"/>
  <c r="D13" i="8"/>
  <c r="D12" i="8"/>
  <c r="D11" i="8"/>
  <c r="D10" i="8"/>
  <c r="D9" i="8"/>
  <c r="D8" i="8"/>
  <c r="D7" i="8"/>
  <c r="D6" i="8"/>
  <c r="D5" i="8"/>
  <c r="D4" i="8"/>
  <c r="I45" i="7"/>
  <c r="H45" i="7"/>
  <c r="L45" i="7" s="1"/>
  <c r="N45" i="7" s="1"/>
  <c r="F45" i="7"/>
  <c r="E45" i="7"/>
  <c r="G45" i="7" s="1"/>
  <c r="J45" i="7" s="1"/>
  <c r="D45" i="7"/>
  <c r="C30" i="7" s="1"/>
  <c r="C45" i="7"/>
  <c r="B22" i="5" s="1"/>
  <c r="B45" i="7"/>
  <c r="A22" i="5" s="1"/>
  <c r="A45" i="7"/>
  <c r="I44" i="7"/>
  <c r="H44" i="7"/>
  <c r="L44" i="7" s="1"/>
  <c r="G44" i="7"/>
  <c r="F44" i="7"/>
  <c r="E44" i="7"/>
  <c r="D44" i="7"/>
  <c r="C44" i="7"/>
  <c r="B44" i="7"/>
  <c r="A29" i="7" s="1"/>
  <c r="A44" i="7"/>
  <c r="I43" i="7"/>
  <c r="H43" i="7"/>
  <c r="L43" i="7" s="1"/>
  <c r="F43" i="7"/>
  <c r="E43" i="7"/>
  <c r="G43" i="7" s="1"/>
  <c r="J43" i="7" s="1"/>
  <c r="D20" i="5" s="1"/>
  <c r="D43" i="7"/>
  <c r="C20" i="5" s="1"/>
  <c r="C43" i="7"/>
  <c r="M43" i="7" s="1"/>
  <c r="B43" i="7"/>
  <c r="A20" i="5" s="1"/>
  <c r="A43" i="7"/>
  <c r="I42" i="7"/>
  <c r="H42" i="7"/>
  <c r="L42" i="7" s="1"/>
  <c r="F42" i="7"/>
  <c r="E42" i="7"/>
  <c r="D42" i="7"/>
  <c r="C27" i="7" s="1"/>
  <c r="C42" i="7"/>
  <c r="B27" i="7" s="1"/>
  <c r="B42" i="7"/>
  <c r="A27" i="7" s="1"/>
  <c r="A42" i="7"/>
  <c r="I41" i="7"/>
  <c r="H41" i="7"/>
  <c r="L41" i="7" s="1"/>
  <c r="N41" i="7" s="1"/>
  <c r="F41" i="7"/>
  <c r="E41" i="7"/>
  <c r="D41" i="7"/>
  <c r="C18" i="5" s="1"/>
  <c r="C41" i="7"/>
  <c r="B41" i="7"/>
  <c r="A26" i="7" s="1"/>
  <c r="A41" i="7"/>
  <c r="A30" i="7"/>
  <c r="C29" i="7"/>
  <c r="B26" i="7"/>
  <c r="E59" i="5"/>
  <c r="D59" i="5"/>
  <c r="C59" i="5"/>
  <c r="C29" i="5"/>
  <c r="B29" i="5"/>
  <c r="C28" i="5"/>
  <c r="B28" i="5"/>
  <c r="C27" i="5"/>
  <c r="B27" i="5"/>
  <c r="C21" i="5"/>
  <c r="A21" i="5"/>
  <c r="C19" i="5"/>
  <c r="B19" i="5"/>
  <c r="B18" i="5"/>
  <c r="A18" i="5"/>
  <c r="B6" i="5"/>
  <c r="H107" i="4"/>
  <c r="G107" i="4"/>
  <c r="D107" i="4"/>
  <c r="C107" i="4"/>
  <c r="B107" i="4"/>
  <c r="H94" i="4"/>
  <c r="D94" i="4"/>
  <c r="C94" i="4"/>
  <c r="B94" i="4"/>
  <c r="B96" i="4" s="1"/>
  <c r="H93" i="4"/>
  <c r="D93" i="4"/>
  <c r="C93" i="4"/>
  <c r="B93" i="4"/>
  <c r="B95" i="4" s="1"/>
  <c r="H86" i="4"/>
  <c r="D86" i="4"/>
  <c r="C86" i="4"/>
  <c r="B86" i="4"/>
  <c r="H82" i="4"/>
  <c r="D82" i="4"/>
  <c r="C82" i="4"/>
  <c r="B82" i="4"/>
  <c r="H77" i="4"/>
  <c r="G77" i="4"/>
  <c r="D77" i="4"/>
  <c r="C77" i="4"/>
  <c r="B77" i="4"/>
  <c r="H75" i="4"/>
  <c r="G75" i="4"/>
  <c r="D75" i="4"/>
  <c r="C75" i="4"/>
  <c r="B75" i="4"/>
  <c r="B65" i="4"/>
  <c r="B63" i="4"/>
  <c r="B66" i="4" s="1"/>
  <c r="E40" i="4"/>
  <c r="E39" i="4"/>
  <c r="E38" i="4"/>
  <c r="H37" i="4"/>
  <c r="H45" i="4" s="1"/>
  <c r="D37" i="4"/>
  <c r="D41" i="4" s="1"/>
  <c r="D46" i="4" s="1"/>
  <c r="C57" i="4" s="1"/>
  <c r="H10" i="4"/>
  <c r="G10" i="4"/>
  <c r="G11" i="4" s="1"/>
  <c r="D10" i="4"/>
  <c r="D11" i="4" s="1"/>
  <c r="C10" i="4"/>
  <c r="C31" i="4" s="1"/>
  <c r="B10" i="4"/>
  <c r="F66" i="3"/>
  <c r="E66" i="3"/>
  <c r="D66" i="3"/>
  <c r="C66" i="3"/>
  <c r="B66" i="3"/>
  <c r="F83" i="3"/>
  <c r="D83" i="3"/>
  <c r="C83" i="3"/>
  <c r="B83" i="3"/>
  <c r="F82" i="3"/>
  <c r="D82" i="3"/>
  <c r="C82" i="3"/>
  <c r="B82" i="3"/>
  <c r="F75" i="3"/>
  <c r="D75" i="3"/>
  <c r="C75" i="3"/>
  <c r="B75" i="3"/>
  <c r="F72" i="3"/>
  <c r="D72" i="3"/>
  <c r="C72" i="3"/>
  <c r="B72" i="3"/>
  <c r="F56" i="3"/>
  <c r="E56" i="3"/>
  <c r="D56" i="3"/>
  <c r="C56" i="3"/>
  <c r="B56" i="3"/>
  <c r="F54" i="3"/>
  <c r="E54" i="3"/>
  <c r="D54" i="3"/>
  <c r="C54" i="3"/>
  <c r="B54" i="3"/>
  <c r="B47" i="3"/>
  <c r="G35" i="3"/>
  <c r="G34" i="3"/>
  <c r="G33" i="3"/>
  <c r="F32" i="3"/>
  <c r="F40" i="3" s="1"/>
  <c r="D32" i="3"/>
  <c r="D38" i="3" s="1"/>
  <c r="B53" i="4" s="1"/>
  <c r="M28" i="3"/>
  <c r="L28" i="3"/>
  <c r="K28" i="3"/>
  <c r="J28" i="3"/>
  <c r="I28" i="3"/>
  <c r="M27" i="3"/>
  <c r="L27" i="3"/>
  <c r="K27" i="3"/>
  <c r="J27" i="3"/>
  <c r="I27" i="3"/>
  <c r="M25" i="3"/>
  <c r="L25" i="3"/>
  <c r="K25" i="3"/>
  <c r="J25" i="3"/>
  <c r="I25" i="3"/>
  <c r="M24" i="3"/>
  <c r="L24" i="3"/>
  <c r="K24" i="3"/>
  <c r="J24" i="3"/>
  <c r="I24" i="3"/>
  <c r="M23" i="3"/>
  <c r="L23" i="3"/>
  <c r="K23" i="3"/>
  <c r="J23" i="3"/>
  <c r="I23" i="3"/>
  <c r="M22" i="3"/>
  <c r="L22" i="3"/>
  <c r="K22" i="3"/>
  <c r="J22" i="3"/>
  <c r="I22" i="3"/>
  <c r="M18" i="3"/>
  <c r="L18" i="3"/>
  <c r="K18" i="3"/>
  <c r="J18" i="3"/>
  <c r="I18" i="3"/>
  <c r="M17" i="3"/>
  <c r="L17" i="3"/>
  <c r="K17" i="3"/>
  <c r="J17" i="3"/>
  <c r="I17" i="3"/>
  <c r="M16" i="3"/>
  <c r="L16" i="3"/>
  <c r="K16" i="3"/>
  <c r="J16" i="3"/>
  <c r="I16" i="3"/>
  <c r="M15" i="3"/>
  <c r="L15" i="3"/>
  <c r="K15" i="3"/>
  <c r="J15" i="3"/>
  <c r="I15" i="3"/>
  <c r="M14" i="3"/>
  <c r="L14" i="3"/>
  <c r="K14" i="3"/>
  <c r="J14" i="3"/>
  <c r="I14" i="3"/>
  <c r="F11" i="3"/>
  <c r="F12" i="3" s="1"/>
  <c r="E11" i="3"/>
  <c r="E12" i="3" s="1"/>
  <c r="D11" i="3"/>
  <c r="D12" i="3" s="1"/>
  <c r="C11" i="3"/>
  <c r="C12" i="3" s="1"/>
  <c r="B11" i="3"/>
  <c r="B12" i="3" s="1"/>
  <c r="M10" i="3"/>
  <c r="L10" i="3"/>
  <c r="K10" i="3"/>
  <c r="J10" i="3"/>
  <c r="I10" i="3"/>
  <c r="M9" i="3"/>
  <c r="L9" i="3"/>
  <c r="K9" i="3"/>
  <c r="B45" i="3" s="1"/>
  <c r="J9" i="3"/>
  <c r="I9" i="3"/>
  <c r="C199" i="1"/>
  <c r="C198" i="1"/>
  <c r="B190" i="1"/>
  <c r="C189" i="1" a="1"/>
  <c r="C189" i="1" s="1"/>
  <c r="C188" i="1" a="1"/>
  <c r="C188" i="1" s="1"/>
  <c r="E207" i="1" s="1"/>
  <c r="F207" i="1" s="1"/>
  <c r="C187" i="1" a="1"/>
  <c r="C187" i="1" s="1"/>
  <c r="B186" i="1"/>
  <c r="C186" i="1" s="1" a="1"/>
  <c r="C186" i="1" s="1"/>
  <c r="B185" i="1"/>
  <c r="C185" i="1" s="1" a="1"/>
  <c r="C185" i="1" s="1"/>
  <c r="E206" i="1" s="1"/>
  <c r="F206" i="1" s="1"/>
  <c r="B183" i="1"/>
  <c r="C183" i="1" s="1" a="1"/>
  <c r="C183" i="1" s="1"/>
  <c r="B181" i="1"/>
  <c r="C181" i="1" s="1" a="1"/>
  <c r="C181" i="1" s="1"/>
  <c r="B178" i="1"/>
  <c r="C178" i="1" s="1" a="1"/>
  <c r="C178" i="1" s="1"/>
  <c r="B177" i="1"/>
  <c r="B176" i="1"/>
  <c r="B174" i="1"/>
  <c r="B172" i="1"/>
  <c r="A172" i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C171" i="1" a="1"/>
  <c r="C171" i="1" s="1"/>
  <c r="C160" i="1" a="1"/>
  <c r="C160" i="1" s="1"/>
  <c r="A160" i="1"/>
  <c r="A161" i="1" s="1"/>
  <c r="A162" i="1" s="1"/>
  <c r="D156" i="1"/>
  <c r="D154" i="1"/>
  <c r="D153" i="1"/>
  <c r="D152" i="1"/>
  <c r="D147" i="1"/>
  <c r="D145" i="1"/>
  <c r="D144" i="1"/>
  <c r="D143" i="1"/>
  <c r="D142" i="1"/>
  <c r="F135" i="1"/>
  <c r="D119" i="1"/>
  <c r="B116" i="1"/>
  <c r="D115" i="1"/>
  <c r="C115" i="1"/>
  <c r="F111" i="1"/>
  <c r="E111" i="1"/>
  <c r="F110" i="1"/>
  <c r="E110" i="1"/>
  <c r="D110" i="1"/>
  <c r="F109" i="1"/>
  <c r="D109" i="1"/>
  <c r="F108" i="1"/>
  <c r="E108" i="1"/>
  <c r="D108" i="1"/>
  <c r="F107" i="1"/>
  <c r="E107" i="1"/>
  <c r="D107" i="1"/>
  <c r="C91" i="1"/>
  <c r="D91" i="1" s="1"/>
  <c r="H91" i="1" s="1"/>
  <c r="D89" i="1"/>
  <c r="C89" i="1"/>
  <c r="B88" i="1"/>
  <c r="B92" i="1" s="1"/>
  <c r="B58" i="1" s="1"/>
  <c r="E87" i="1"/>
  <c r="F86" i="1" s="1"/>
  <c r="E86" i="1"/>
  <c r="D86" i="1"/>
  <c r="D88" i="1" s="1"/>
  <c r="C86" i="1"/>
  <c r="C88" i="1" s="1"/>
  <c r="K71" i="1"/>
  <c r="J71" i="1"/>
  <c r="I71" i="1"/>
  <c r="I72" i="1" s="1"/>
  <c r="H71" i="1"/>
  <c r="H72" i="1" s="1"/>
  <c r="F71" i="1"/>
  <c r="E71" i="1"/>
  <c r="F68" i="1"/>
  <c r="F65" i="1"/>
  <c r="E65" i="1"/>
  <c r="D65" i="1"/>
  <c r="C65" i="1"/>
  <c r="C64" i="1" s="1"/>
  <c r="B64" i="1"/>
  <c r="B62" i="1"/>
  <c r="I61" i="1"/>
  <c r="I60" i="1" s="1"/>
  <c r="F61" i="1"/>
  <c r="E61" i="1"/>
  <c r="D61" i="1"/>
  <c r="C61" i="1"/>
  <c r="C62" i="1" s="1"/>
  <c r="F57" i="1"/>
  <c r="E57" i="1"/>
  <c r="C57" i="1"/>
  <c r="B57" i="1"/>
  <c r="B52" i="1" s="1"/>
  <c r="B30" i="1" s="1"/>
  <c r="I54" i="1"/>
  <c r="H53" i="1"/>
  <c r="F48" i="1"/>
  <c r="E48" i="1"/>
  <c r="D48" i="1"/>
  <c r="C48" i="1"/>
  <c r="C45" i="1"/>
  <c r="B45" i="1"/>
  <c r="C24" i="1"/>
  <c r="C23" i="1"/>
  <c r="H20" i="1"/>
  <c r="H19" i="1"/>
  <c r="H18" i="1"/>
  <c r="D15" i="1"/>
  <c r="D68" i="1" s="1"/>
  <c r="C14" i="1"/>
  <c r="B14" i="1"/>
  <c r="B13" i="1" s="1"/>
  <c r="I11" i="1"/>
  <c r="H11" i="1"/>
  <c r="I10" i="1"/>
  <c r="H10" i="1"/>
  <c r="C10" i="1"/>
  <c r="B10" i="1"/>
  <c r="F9" i="1"/>
  <c r="L12" i="9" s="1"/>
  <c r="E9" i="1"/>
  <c r="L11" i="9" s="1"/>
  <c r="D9" i="1"/>
  <c r="D45" i="1" s="1"/>
  <c r="G117" i="2"/>
  <c r="F117" i="2"/>
  <c r="E117" i="2"/>
  <c r="D117" i="2"/>
  <c r="C117" i="2"/>
  <c r="B117" i="2"/>
  <c r="D61" i="2"/>
  <c r="G119" i="2" s="1"/>
  <c r="B111" i="2"/>
  <c r="B114" i="2" s="1"/>
  <c r="B110" i="2"/>
  <c r="D109" i="2"/>
  <c r="C109" i="2"/>
  <c r="C110" i="2" s="1"/>
  <c r="D107" i="2"/>
  <c r="C107" i="2"/>
  <c r="B107" i="2"/>
  <c r="D104" i="2"/>
  <c r="C99" i="2"/>
  <c r="C93" i="2"/>
  <c r="C87" i="2"/>
  <c r="C81" i="2"/>
  <c r="H73" i="2"/>
  <c r="G73" i="2"/>
  <c r="F73" i="2"/>
  <c r="E73" i="2"/>
  <c r="D73" i="2"/>
  <c r="H72" i="2"/>
  <c r="G72" i="2"/>
  <c r="F72" i="2"/>
  <c r="E72" i="2"/>
  <c r="D72" i="2"/>
  <c r="H71" i="2"/>
  <c r="G71" i="2"/>
  <c r="F71" i="2"/>
  <c r="E71" i="2"/>
  <c r="D71" i="2"/>
  <c r="H52" i="2"/>
  <c r="G52" i="2"/>
  <c r="F52" i="2"/>
  <c r="E52" i="2"/>
  <c r="D52" i="2"/>
  <c r="B36" i="2"/>
  <c r="B73" i="2" s="1"/>
  <c r="B35" i="2"/>
  <c r="B72" i="2" s="1"/>
  <c r="B34" i="2"/>
  <c r="B71" i="2" s="1"/>
  <c r="C33" i="2"/>
  <c r="C39" i="2" s="1"/>
  <c r="B33" i="2"/>
  <c r="B39" i="2" s="1"/>
  <c r="B26" i="2"/>
  <c r="B13" i="2"/>
  <c r="H11" i="2"/>
  <c r="G11" i="2"/>
  <c r="F11" i="2"/>
  <c r="E11" i="2"/>
  <c r="D11" i="2"/>
  <c r="C11" i="2"/>
  <c r="B11" i="2"/>
  <c r="B19" i="2" s="1"/>
  <c r="H10" i="2"/>
  <c r="G10" i="2"/>
  <c r="F10" i="2"/>
  <c r="E10" i="2"/>
  <c r="D10" i="2"/>
  <c r="C10" i="2"/>
  <c r="C94" i="2" s="1"/>
  <c r="B10" i="2"/>
  <c r="B18" i="2" s="1"/>
  <c r="H9" i="2"/>
  <c r="G9" i="2"/>
  <c r="F9" i="2"/>
  <c r="E9" i="2"/>
  <c r="D9" i="2"/>
  <c r="C9" i="2"/>
  <c r="B9" i="2"/>
  <c r="B17" i="2" s="1"/>
  <c r="H8" i="2"/>
  <c r="G8" i="2"/>
  <c r="F8" i="2"/>
  <c r="E8" i="2"/>
  <c r="D8" i="2"/>
  <c r="C8" i="2"/>
  <c r="B8" i="2"/>
  <c r="B16" i="2" s="1"/>
  <c r="G206" i="1" l="1"/>
  <c r="G207" i="1"/>
  <c r="F209" i="1"/>
  <c r="F210" i="1"/>
  <c r="F122" i="1"/>
  <c r="C116" i="1"/>
  <c r="D116" i="1" s="1"/>
  <c r="E116" i="1" s="1"/>
  <c r="F116" i="1" s="1"/>
  <c r="E88" i="1"/>
  <c r="D87" i="4"/>
  <c r="D89" i="4" s="1"/>
  <c r="C87" i="4"/>
  <c r="D76" i="3"/>
  <c r="D78" i="3" s="1"/>
  <c r="F112" i="1"/>
  <c r="F75" i="1" s="1"/>
  <c r="F62" i="1"/>
  <c r="E20" i="1"/>
  <c r="D187" i="1"/>
  <c r="E187" i="1" s="1"/>
  <c r="C92" i="1"/>
  <c r="C58" i="1" s="1"/>
  <c r="C59" i="1" s="1"/>
  <c r="C60" i="1" s="1"/>
  <c r="J9" i="1"/>
  <c r="J72" i="1" s="1"/>
  <c r="D186" i="1"/>
  <c r="E186" i="1" s="1"/>
  <c r="K9" i="1"/>
  <c r="D188" i="1"/>
  <c r="E188" i="1" s="1"/>
  <c r="F19" i="3"/>
  <c r="F26" i="3" s="1"/>
  <c r="M26" i="3" s="1"/>
  <c r="B76" i="3"/>
  <c r="B84" i="3" s="1"/>
  <c r="B48" i="3"/>
  <c r="M11" i="3"/>
  <c r="M12" i="3" s="1"/>
  <c r="E25" i="2"/>
  <c r="H22" i="2"/>
  <c r="D25" i="2"/>
  <c r="B40" i="2"/>
  <c r="E118" i="2"/>
  <c r="F118" i="2"/>
  <c r="D63" i="2"/>
  <c r="B42" i="2"/>
  <c r="B43" i="2" s="1"/>
  <c r="B74" i="2" s="1"/>
  <c r="C120" i="2"/>
  <c r="B27" i="2"/>
  <c r="B70" i="2" s="1"/>
  <c r="B38" i="2"/>
  <c r="C38" i="2"/>
  <c r="D30" i="7"/>
  <c r="D22" i="5"/>
  <c r="C89" i="4"/>
  <c r="C96" i="4"/>
  <c r="D119" i="2"/>
  <c r="E15" i="1"/>
  <c r="E14" i="1" s="1"/>
  <c r="E13" i="1" s="1"/>
  <c r="E69" i="1" s="1"/>
  <c r="C19" i="3"/>
  <c r="C20" i="3" s="1"/>
  <c r="D36" i="3"/>
  <c r="D41" i="3" s="1"/>
  <c r="B57" i="4" s="1"/>
  <c r="D85" i="3"/>
  <c r="C22" i="5"/>
  <c r="D95" i="4"/>
  <c r="G118" i="2"/>
  <c r="E72" i="1"/>
  <c r="B30" i="7"/>
  <c r="B87" i="4"/>
  <c r="B89" i="4" s="1"/>
  <c r="G12" i="2"/>
  <c r="G53" i="2" s="1"/>
  <c r="E119" i="2"/>
  <c r="D10" i="1"/>
  <c r="H15" i="1"/>
  <c r="H14" i="1" s="1"/>
  <c r="H13" i="1" s="1"/>
  <c r="H69" i="1" s="1"/>
  <c r="H68" i="1" s="1"/>
  <c r="F132" i="1"/>
  <c r="K11" i="3"/>
  <c r="K12" i="3" s="1"/>
  <c r="D19" i="3"/>
  <c r="D39" i="3"/>
  <c r="B54" i="4" s="1"/>
  <c r="G42" i="7"/>
  <c r="J42" i="7" s="1"/>
  <c r="E12" i="2"/>
  <c r="E31" i="2" s="1"/>
  <c r="E18" i="1"/>
  <c r="D31" i="4"/>
  <c r="G41" i="7"/>
  <c r="J41" i="7" s="1"/>
  <c r="D26" i="7" s="1"/>
  <c r="N42" i="7"/>
  <c r="N44" i="7"/>
  <c r="B119" i="2"/>
  <c r="F72" i="1"/>
  <c r="H12" i="2"/>
  <c r="F119" i="2"/>
  <c r="J15" i="1"/>
  <c r="D135" i="1"/>
  <c r="D40" i="3"/>
  <c r="B56" i="4" s="1"/>
  <c r="F76" i="3"/>
  <c r="F78" i="3" s="1"/>
  <c r="D20" i="4"/>
  <c r="D23" i="4" s="1"/>
  <c r="D33" i="4" s="1"/>
  <c r="H87" i="4"/>
  <c r="H96" i="4" s="1"/>
  <c r="C12" i="2"/>
  <c r="L4" i="9" s="1"/>
  <c r="B112" i="2"/>
  <c r="B113" i="2" s="1"/>
  <c r="B118" i="2"/>
  <c r="D64" i="1"/>
  <c r="E109" i="1"/>
  <c r="E112" i="1" s="1"/>
  <c r="A19" i="5"/>
  <c r="C28" i="7"/>
  <c r="D118" i="2"/>
  <c r="C76" i="3"/>
  <c r="C78" i="3" s="1"/>
  <c r="B21" i="1"/>
  <c r="B36" i="1"/>
  <c r="B37" i="1" s="1"/>
  <c r="B31" i="1"/>
  <c r="C82" i="2"/>
  <c r="C83" i="2" s="1"/>
  <c r="C200" i="1"/>
  <c r="L10" i="9"/>
  <c r="D132" i="1"/>
  <c r="D62" i="1"/>
  <c r="D72" i="1"/>
  <c r="E10" i="1"/>
  <c r="H65" i="1"/>
  <c r="H64" i="1" s="1"/>
  <c r="N11" i="9"/>
  <c r="O11" i="9" s="1"/>
  <c r="P11" i="9" s="1"/>
  <c r="D19" i="5"/>
  <c r="D27" i="7"/>
  <c r="J91" i="1"/>
  <c r="K91" i="1"/>
  <c r="I91" i="1"/>
  <c r="E91" i="1"/>
  <c r="F91" i="1" s="1"/>
  <c r="C175" i="1" a="1"/>
  <c r="C175" i="1" s="1"/>
  <c r="J88" i="1"/>
  <c r="D92" i="1"/>
  <c r="D58" i="1" s="1"/>
  <c r="D59" i="1" s="1"/>
  <c r="D60" i="1" s="1"/>
  <c r="K88" i="1"/>
  <c r="I88" i="1"/>
  <c r="H88" i="1"/>
  <c r="H92" i="1" s="1"/>
  <c r="H58" i="1" s="1"/>
  <c r="A163" i="1"/>
  <c r="C162" i="1" a="1"/>
  <c r="C162" i="1" s="1"/>
  <c r="C95" i="2"/>
  <c r="D160" i="1"/>
  <c r="E160" i="1" s="1"/>
  <c r="I65" i="1"/>
  <c r="I64" i="1" s="1"/>
  <c r="K65" i="1"/>
  <c r="J65" i="1"/>
  <c r="D146" i="1"/>
  <c r="E145" i="1" s="1"/>
  <c r="C88" i="2"/>
  <c r="C89" i="2" s="1"/>
  <c r="B59" i="1"/>
  <c r="B60" i="1" s="1"/>
  <c r="F12" i="2"/>
  <c r="E62" i="1"/>
  <c r="D112" i="1"/>
  <c r="H31" i="4"/>
  <c r="H20" i="4"/>
  <c r="H11" i="4"/>
  <c r="E132" i="1"/>
  <c r="C184" i="1" a="1"/>
  <c r="C184" i="1" s="1"/>
  <c r="D185" i="1" s="1"/>
  <c r="E185" i="1" s="1"/>
  <c r="C180" i="1" a="1"/>
  <c r="C180" i="1" s="1"/>
  <c r="D181" i="1" s="1"/>
  <c r="E181" i="1" s="1"/>
  <c r="C179" i="1" a="1"/>
  <c r="C179" i="1" s="1"/>
  <c r="E205" i="1" s="1"/>
  <c r="F205" i="1" s="1"/>
  <c r="H43" i="4"/>
  <c r="B20" i="5"/>
  <c r="B28" i="7"/>
  <c r="B25" i="8"/>
  <c r="D14" i="8"/>
  <c r="B24" i="8" s="1"/>
  <c r="C161" i="1" a="1"/>
  <c r="C161" i="1" s="1"/>
  <c r="C172" i="1" a="1"/>
  <c r="C172" i="1" s="1"/>
  <c r="C174" i="1" a="1"/>
  <c r="C174" i="1" s="1"/>
  <c r="E204" i="1" s="1"/>
  <c r="F204" i="1" s="1"/>
  <c r="C176" i="1" a="1"/>
  <c r="C176" i="1" s="1"/>
  <c r="D189" i="1"/>
  <c r="E189" i="1" s="1"/>
  <c r="J11" i="3"/>
  <c r="J12" i="3" s="1"/>
  <c r="C11" i="4"/>
  <c r="C95" i="4"/>
  <c r="D28" i="7"/>
  <c r="B21" i="5"/>
  <c r="B29" i="7"/>
  <c r="M45" i="7"/>
  <c r="N9" i="9"/>
  <c r="O9" i="9" s="1"/>
  <c r="P9" i="9" s="1"/>
  <c r="D12" i="2"/>
  <c r="C119" i="2"/>
  <c r="F10" i="1"/>
  <c r="C13" i="1"/>
  <c r="C18" i="1" s="1"/>
  <c r="D14" i="1"/>
  <c r="I15" i="1"/>
  <c r="I14" i="1" s="1"/>
  <c r="I13" i="1" s="1"/>
  <c r="I69" i="1" s="1"/>
  <c r="F20" i="1"/>
  <c r="H21" i="1"/>
  <c r="H26" i="1" s="1"/>
  <c r="F64" i="1"/>
  <c r="D84" i="3"/>
  <c r="C20" i="4"/>
  <c r="D44" i="4"/>
  <c r="C54" i="4" s="1"/>
  <c r="D43" i="4"/>
  <c r="C53" i="4" s="1"/>
  <c r="D45" i="4"/>
  <c r="C55" i="4" s="1"/>
  <c r="K42" i="7"/>
  <c r="K43" i="7"/>
  <c r="N3" i="9"/>
  <c r="O3" i="9" s="1"/>
  <c r="P3" i="9" s="1"/>
  <c r="H44" i="4"/>
  <c r="E37" i="4"/>
  <c r="C40" i="2"/>
  <c r="F14" i="1"/>
  <c r="K15" i="1"/>
  <c r="E19" i="1"/>
  <c r="E45" i="1"/>
  <c r="E64" i="1"/>
  <c r="C182" i="1" a="1"/>
  <c r="C182" i="1" s="1"/>
  <c r="N12" i="9"/>
  <c r="O12" i="9" s="1"/>
  <c r="P12" i="9" s="1"/>
  <c r="F19" i="1"/>
  <c r="F45" i="1"/>
  <c r="C173" i="1" a="1"/>
  <c r="C173" i="1" s="1"/>
  <c r="J184" i="1"/>
  <c r="E44" i="4"/>
  <c r="J44" i="7"/>
  <c r="C118" i="2"/>
  <c r="C177" i="1" a="1"/>
  <c r="C177" i="1" s="1"/>
  <c r="D178" i="1" s="1"/>
  <c r="E178" i="1" s="1"/>
  <c r="B19" i="3"/>
  <c r="I11" i="3"/>
  <c r="I12" i="3" s="1"/>
  <c r="B31" i="4"/>
  <c r="B20" i="4"/>
  <c r="B191" i="1"/>
  <c r="C190" i="1" a="1"/>
  <c r="C190" i="1" s="1"/>
  <c r="F36" i="3"/>
  <c r="F41" i="3" s="1"/>
  <c r="F39" i="3"/>
  <c r="F38" i="3"/>
  <c r="F18" i="1"/>
  <c r="F87" i="1"/>
  <c r="F88" i="1" s="1"/>
  <c r="G32" i="3"/>
  <c r="H41" i="4"/>
  <c r="H46" i="4" s="1"/>
  <c r="D96" i="4"/>
  <c r="M41" i="7"/>
  <c r="N43" i="7"/>
  <c r="M44" i="7"/>
  <c r="K45" i="7"/>
  <c r="M42" i="7"/>
  <c r="L11" i="3"/>
  <c r="L12" i="3" s="1"/>
  <c r="E19" i="3"/>
  <c r="G20" i="4"/>
  <c r="G31" i="4"/>
  <c r="C26" i="7"/>
  <c r="A28" i="7"/>
  <c r="F118" i="1" l="1"/>
  <c r="F121" i="1" s="1"/>
  <c r="J92" i="1"/>
  <c r="J58" i="1" s="1"/>
  <c r="D32" i="4"/>
  <c r="B78" i="3"/>
  <c r="C26" i="3"/>
  <c r="J26" i="3" s="1"/>
  <c r="M19" i="3"/>
  <c r="M20" i="3" s="1"/>
  <c r="F20" i="3"/>
  <c r="B85" i="3"/>
  <c r="E68" i="1"/>
  <c r="D174" i="1"/>
  <c r="E174" i="1" s="1"/>
  <c r="H73" i="1"/>
  <c r="F92" i="1"/>
  <c r="F58" i="1" s="1"/>
  <c r="F59" i="1" s="1"/>
  <c r="F60" i="1" s="1"/>
  <c r="K64" i="1"/>
  <c r="E73" i="1"/>
  <c r="E77" i="1" s="1"/>
  <c r="F125" i="1"/>
  <c r="D175" i="1"/>
  <c r="E175" i="1" s="1"/>
  <c r="H95" i="4"/>
  <c r="J19" i="3"/>
  <c r="J20" i="3" s="1"/>
  <c r="C85" i="3"/>
  <c r="F85" i="3"/>
  <c r="F84" i="3"/>
  <c r="F21" i="2"/>
  <c r="F25" i="2" s="1"/>
  <c r="D43" i="2"/>
  <c r="D28" i="2"/>
  <c r="G30" i="2"/>
  <c r="G32" i="2"/>
  <c r="G16" i="2"/>
  <c r="G31" i="2"/>
  <c r="G13" i="2"/>
  <c r="G17" i="2"/>
  <c r="B51" i="2"/>
  <c r="B47" i="2"/>
  <c r="B50" i="2" s="1"/>
  <c r="B48" i="2" s="1"/>
  <c r="C26" i="2"/>
  <c r="C27" i="2" s="1"/>
  <c r="L8" i="9"/>
  <c r="N8" i="9" s="1"/>
  <c r="O8" i="9" s="1"/>
  <c r="P8" i="9" s="1"/>
  <c r="C17" i="2"/>
  <c r="C13" i="2"/>
  <c r="G19" i="2"/>
  <c r="H13" i="2"/>
  <c r="H21" i="2"/>
  <c r="H25" i="2" s="1"/>
  <c r="D26" i="2"/>
  <c r="H16" i="2"/>
  <c r="H30" i="2"/>
  <c r="F18" i="2"/>
  <c r="H32" i="2"/>
  <c r="C18" i="2"/>
  <c r="E19" i="2"/>
  <c r="E26" i="2"/>
  <c r="E28" i="2"/>
  <c r="C16" i="2"/>
  <c r="F120" i="2"/>
  <c r="L6" i="9"/>
  <c r="N6" i="9" s="1"/>
  <c r="O6" i="9" s="1"/>
  <c r="P6" i="9" s="1"/>
  <c r="D120" i="2"/>
  <c r="F16" i="2"/>
  <c r="H53" i="2"/>
  <c r="G120" i="2"/>
  <c r="H18" i="2"/>
  <c r="E18" i="2"/>
  <c r="E120" i="2"/>
  <c r="B120" i="2"/>
  <c r="G18" i="2"/>
  <c r="G21" i="2"/>
  <c r="G25" i="2" s="1"/>
  <c r="E75" i="1"/>
  <c r="E118" i="1"/>
  <c r="E121" i="1" s="1"/>
  <c r="E13" i="2"/>
  <c r="C84" i="3"/>
  <c r="D18" i="5"/>
  <c r="H28" i="1"/>
  <c r="E135" i="1"/>
  <c r="E53" i="2"/>
  <c r="E30" i="2"/>
  <c r="C53" i="2"/>
  <c r="E17" i="2"/>
  <c r="K92" i="1"/>
  <c r="K58" i="1" s="1"/>
  <c r="E32" i="2"/>
  <c r="C34" i="2"/>
  <c r="C71" i="2" s="1"/>
  <c r="E16" i="2"/>
  <c r="C35" i="2"/>
  <c r="C72" i="2" s="1"/>
  <c r="H19" i="2"/>
  <c r="C36" i="2"/>
  <c r="C73" i="2" s="1"/>
  <c r="H89" i="4"/>
  <c r="H17" i="2"/>
  <c r="H31" i="2"/>
  <c r="C111" i="2"/>
  <c r="C114" i="2" s="1"/>
  <c r="K41" i="7"/>
  <c r="O41" i="7" s="1"/>
  <c r="D184" i="1"/>
  <c r="E184" i="1" s="1"/>
  <c r="D176" i="1"/>
  <c r="E176" i="1" s="1"/>
  <c r="C19" i="2"/>
  <c r="K19" i="3"/>
  <c r="K20" i="3" s="1"/>
  <c r="D26" i="3"/>
  <c r="K26" i="3" s="1"/>
  <c r="D20" i="3"/>
  <c r="F21" i="1"/>
  <c r="F26" i="1" s="1"/>
  <c r="D29" i="7"/>
  <c r="D21" i="5"/>
  <c r="P45" i="7"/>
  <c r="O45" i="7"/>
  <c r="K44" i="7"/>
  <c r="C21" i="1"/>
  <c r="C26" i="1" s="1"/>
  <c r="I26" i="1" s="1"/>
  <c r="C22" i="1"/>
  <c r="L7" i="9"/>
  <c r="F31" i="2"/>
  <c r="F19" i="2"/>
  <c r="F32" i="2"/>
  <c r="F13" i="2"/>
  <c r="F30" i="2"/>
  <c r="E143" i="1"/>
  <c r="E142" i="1"/>
  <c r="B47" i="1" s="1"/>
  <c r="D148" i="1"/>
  <c r="D149" i="1" s="1"/>
  <c r="H77" i="1"/>
  <c r="H78" i="1" s="1"/>
  <c r="B32" i="4"/>
  <c r="B23" i="4"/>
  <c r="B33" i="4" s="1"/>
  <c r="P41" i="7"/>
  <c r="E41" i="4"/>
  <c r="E46" i="4" s="1"/>
  <c r="E45" i="4"/>
  <c r="E43" i="4"/>
  <c r="D173" i="1"/>
  <c r="E173" i="1" s="1"/>
  <c r="F53" i="2"/>
  <c r="J19" i="1"/>
  <c r="J14" i="1"/>
  <c r="J53" i="1"/>
  <c r="J20" i="1"/>
  <c r="J10" i="1"/>
  <c r="J18" i="1"/>
  <c r="J11" i="1"/>
  <c r="D182" i="1"/>
  <c r="E182" i="1" s="1"/>
  <c r="D183" i="1"/>
  <c r="E183" i="1" s="1"/>
  <c r="D162" i="1"/>
  <c r="E162" i="1" s="1"/>
  <c r="H32" i="4"/>
  <c r="H23" i="4"/>
  <c r="H33" i="4" s="1"/>
  <c r="K14" i="1"/>
  <c r="K53" i="1"/>
  <c r="K20" i="1"/>
  <c r="K10" i="1"/>
  <c r="K18" i="1"/>
  <c r="K19" i="1"/>
  <c r="K11" i="1"/>
  <c r="C23" i="4"/>
  <c r="C33" i="4" s="1"/>
  <c r="C32" i="4"/>
  <c r="D180" i="1"/>
  <c r="E180" i="1" s="1"/>
  <c r="J64" i="1"/>
  <c r="D161" i="1"/>
  <c r="E161" i="1" s="1"/>
  <c r="G32" i="4"/>
  <c r="G23" i="4"/>
  <c r="G33" i="4" s="1"/>
  <c r="B26" i="3"/>
  <c r="I26" i="3" s="1"/>
  <c r="B20" i="3"/>
  <c r="I19" i="3"/>
  <c r="I20" i="3" s="1"/>
  <c r="D19" i="2"/>
  <c r="D31" i="2"/>
  <c r="L5" i="9"/>
  <c r="D111" i="2"/>
  <c r="D13" i="2"/>
  <c r="D30" i="2"/>
  <c r="D18" i="2"/>
  <c r="D17" i="2"/>
  <c r="D32" i="2"/>
  <c r="I92" i="1"/>
  <c r="I58" i="1" s="1"/>
  <c r="I57" i="1" s="1"/>
  <c r="N10" i="9"/>
  <c r="O10" i="9" s="1"/>
  <c r="P10" i="9" s="1"/>
  <c r="E21" i="1"/>
  <c r="E27" i="1" s="1"/>
  <c r="C163" i="1" a="1"/>
  <c r="C163" i="1" s="1"/>
  <c r="D163" i="1" s="1"/>
  <c r="E163" i="1" s="1"/>
  <c r="A164" i="1"/>
  <c r="D16" i="2"/>
  <c r="L19" i="3"/>
  <c r="L20" i="3" s="1"/>
  <c r="E26" i="3"/>
  <c r="L26" i="3" s="1"/>
  <c r="E20" i="3"/>
  <c r="G36" i="3"/>
  <c r="G41" i="3" s="1"/>
  <c r="G38" i="3"/>
  <c r="G40" i="3"/>
  <c r="D190" i="1"/>
  <c r="E190" i="1" s="1"/>
  <c r="H27" i="1"/>
  <c r="F13" i="1"/>
  <c r="F69" i="1" s="1"/>
  <c r="F73" i="1" s="1"/>
  <c r="P43" i="7"/>
  <c r="O43" i="7"/>
  <c r="D179" i="1"/>
  <c r="E179" i="1" s="1"/>
  <c r="G39" i="3"/>
  <c r="B192" i="1"/>
  <c r="C191" i="1" a="1"/>
  <c r="C191" i="1" s="1"/>
  <c r="P42" i="7"/>
  <c r="O42" i="7"/>
  <c r="I73" i="1"/>
  <c r="I68" i="1"/>
  <c r="D118" i="1"/>
  <c r="D75" i="1"/>
  <c r="D172" i="1"/>
  <c r="E172" i="1" s="1"/>
  <c r="H30" i="1"/>
  <c r="F131" i="1"/>
  <c r="F133" i="1" s="1"/>
  <c r="F128" i="1"/>
  <c r="F127" i="1"/>
  <c r="E92" i="1"/>
  <c r="E58" i="1" s="1"/>
  <c r="E59" i="1" s="1"/>
  <c r="E60" i="1" s="1"/>
  <c r="F17" i="2"/>
  <c r="D13" i="1"/>
  <c r="D69" i="1" s="1"/>
  <c r="D73" i="1" s="1"/>
  <c r="D177" i="1"/>
  <c r="E177" i="1" s="1"/>
  <c r="K72" i="1"/>
  <c r="E144" i="1"/>
  <c r="D53" i="2"/>
  <c r="N4" i="9"/>
  <c r="O4" i="9" s="1"/>
  <c r="P4" i="9" s="1"/>
  <c r="E123" i="1" l="1"/>
  <c r="E134" i="1" s="1"/>
  <c r="E136" i="1" s="1"/>
  <c r="F123" i="1"/>
  <c r="F134" i="1" s="1"/>
  <c r="F136" i="1" s="1"/>
  <c r="G33" i="2"/>
  <c r="G39" i="2" s="1"/>
  <c r="E33" i="2"/>
  <c r="E40" i="2" s="1"/>
  <c r="E125" i="1"/>
  <c r="E76" i="1"/>
  <c r="B199" i="1"/>
  <c r="D199" i="1" s="1"/>
  <c r="F47" i="1"/>
  <c r="F46" i="1" s="1"/>
  <c r="F49" i="1" s="1"/>
  <c r="E47" i="1"/>
  <c r="E46" i="1" s="1"/>
  <c r="E49" i="1" s="1"/>
  <c r="D47" i="1"/>
  <c r="D46" i="1" s="1"/>
  <c r="D49" i="1" s="1"/>
  <c r="C47" i="1"/>
  <c r="C46" i="1" s="1"/>
  <c r="C49" i="1" s="1"/>
  <c r="B46" i="1"/>
  <c r="B49" i="1" s="1"/>
  <c r="D33" i="2"/>
  <c r="D39" i="2" s="1"/>
  <c r="H33" i="2"/>
  <c r="H38" i="2" s="1"/>
  <c r="C42" i="2"/>
  <c r="C47" i="2" s="1"/>
  <c r="C50" i="2" s="1"/>
  <c r="C48" i="2" s="1"/>
  <c r="G28" i="2"/>
  <c r="G26" i="2"/>
  <c r="F28" i="2"/>
  <c r="F26" i="2"/>
  <c r="G40" i="2"/>
  <c r="H28" i="2"/>
  <c r="H26" i="2"/>
  <c r="E27" i="2"/>
  <c r="E42" i="2"/>
  <c r="D27" i="2"/>
  <c r="E38" i="2"/>
  <c r="H40" i="2"/>
  <c r="C112" i="2"/>
  <c r="C113" i="2" s="1"/>
  <c r="F28" i="1"/>
  <c r="F30" i="1"/>
  <c r="F31" i="1" s="1"/>
  <c r="F27" i="1"/>
  <c r="K21" i="1"/>
  <c r="K30" i="1" s="1"/>
  <c r="K26" i="1"/>
  <c r="E146" i="1"/>
  <c r="C28" i="1"/>
  <c r="I28" i="1" s="1"/>
  <c r="C27" i="1"/>
  <c r="I27" i="1" s="1"/>
  <c r="C30" i="1"/>
  <c r="H75" i="1"/>
  <c r="H76" i="1" s="1"/>
  <c r="J75" i="1"/>
  <c r="I75" i="1"/>
  <c r="I76" i="1" s="1"/>
  <c r="K75" i="1"/>
  <c r="E78" i="1"/>
  <c r="D125" i="1"/>
  <c r="D121" i="1"/>
  <c r="G38" i="2"/>
  <c r="A165" i="1"/>
  <c r="C164" i="1" a="1"/>
  <c r="C164" i="1" s="1"/>
  <c r="D164" i="1" s="1"/>
  <c r="E164" i="1" s="1"/>
  <c r="P44" i="7"/>
  <c r="O44" i="7"/>
  <c r="E28" i="7"/>
  <c r="E20" i="5"/>
  <c r="D76" i="1"/>
  <c r="D77" i="1"/>
  <c r="D191" i="1"/>
  <c r="E191" i="1" s="1"/>
  <c r="J21" i="1"/>
  <c r="J28" i="1" s="1"/>
  <c r="F33" i="2"/>
  <c r="F39" i="2" s="1"/>
  <c r="E22" i="5"/>
  <c r="E30" i="7"/>
  <c r="I77" i="1"/>
  <c r="I78" i="1" s="1"/>
  <c r="J57" i="1"/>
  <c r="J59" i="1" s="1"/>
  <c r="H57" i="1"/>
  <c r="H59" i="1" s="1"/>
  <c r="K57" i="1"/>
  <c r="K59" i="1" s="1"/>
  <c r="I52" i="1"/>
  <c r="I30" i="1" s="1"/>
  <c r="C51" i="2"/>
  <c r="K13" i="1"/>
  <c r="K69" i="1" s="1"/>
  <c r="E18" i="5"/>
  <c r="E26" i="7"/>
  <c r="F22" i="5"/>
  <c r="F30" i="7"/>
  <c r="E19" i="5"/>
  <c r="E27" i="7"/>
  <c r="N5" i="9"/>
  <c r="O5" i="9" s="1"/>
  <c r="P5" i="9" s="1"/>
  <c r="C70" i="2"/>
  <c r="E131" i="1"/>
  <c r="E133" i="1" s="1"/>
  <c r="E127" i="1"/>
  <c r="E128" i="1"/>
  <c r="F211" i="1" s="1"/>
  <c r="F212" i="1" s="1"/>
  <c r="A213" i="1" s="1"/>
  <c r="F18" i="5"/>
  <c r="F26" i="7"/>
  <c r="F27" i="7"/>
  <c r="F19" i="5"/>
  <c r="F28" i="7"/>
  <c r="F20" i="5"/>
  <c r="J13" i="1"/>
  <c r="J69" i="1" s="1"/>
  <c r="H52" i="1"/>
  <c r="H31" i="1"/>
  <c r="H36" i="1"/>
  <c r="H37" i="1" s="1"/>
  <c r="B193" i="1"/>
  <c r="C192" i="1" a="1"/>
  <c r="C192" i="1" s="1"/>
  <c r="D192" i="1" s="1"/>
  <c r="E192" i="1" s="1"/>
  <c r="F76" i="1"/>
  <c r="F77" i="1"/>
  <c r="E28" i="1"/>
  <c r="E26" i="1"/>
  <c r="E30" i="1"/>
  <c r="N7" i="9"/>
  <c r="O7" i="9" s="1"/>
  <c r="P7" i="9" s="1"/>
  <c r="J30" i="1" l="1"/>
  <c r="C43" i="2"/>
  <c r="C74" i="2" s="1"/>
  <c r="E39" i="2"/>
  <c r="D123" i="1"/>
  <c r="D134" i="1" s="1"/>
  <c r="D136" i="1" s="1"/>
  <c r="F124" i="1"/>
  <c r="E124" i="1"/>
  <c r="D38" i="2"/>
  <c r="K28" i="1"/>
  <c r="K27" i="1"/>
  <c r="J26" i="1"/>
  <c r="J27" i="1"/>
  <c r="H39" i="2"/>
  <c r="D40" i="2"/>
  <c r="E47" i="2"/>
  <c r="E43" i="2"/>
  <c r="E74" i="2" s="1"/>
  <c r="E51" i="2"/>
  <c r="H42" i="2"/>
  <c r="H27" i="2"/>
  <c r="E70" i="2"/>
  <c r="G42" i="2"/>
  <c r="G27" i="2"/>
  <c r="F42" i="2"/>
  <c r="F27" i="2"/>
  <c r="D70" i="2"/>
  <c r="F36" i="1"/>
  <c r="F37" i="1" s="1"/>
  <c r="F52" i="1"/>
  <c r="F53" i="1" s="1"/>
  <c r="F54" i="1" s="1"/>
  <c r="K73" i="1"/>
  <c r="K68" i="1"/>
  <c r="D128" i="1"/>
  <c r="D131" i="1"/>
  <c r="D133" i="1" s="1"/>
  <c r="D127" i="1"/>
  <c r="K36" i="1"/>
  <c r="K37" i="1" s="1"/>
  <c r="K31" i="1"/>
  <c r="K52" i="1"/>
  <c r="B194" i="1"/>
  <c r="C193" i="1" a="1"/>
  <c r="C193" i="1" s="1"/>
  <c r="D193" i="1" s="1"/>
  <c r="E193" i="1" s="1"/>
  <c r="J52" i="1"/>
  <c r="J36" i="1"/>
  <c r="J37" i="1" s="1"/>
  <c r="J31" i="1"/>
  <c r="D27" i="5"/>
  <c r="D28" i="5"/>
  <c r="D29" i="5"/>
  <c r="J73" i="1"/>
  <c r="J68" i="1"/>
  <c r="F40" i="2"/>
  <c r="F38" i="2"/>
  <c r="E36" i="1"/>
  <c r="E37" i="1" s="1"/>
  <c r="E52" i="1"/>
  <c r="E53" i="1" s="1"/>
  <c r="E54" i="1" s="1"/>
  <c r="E31" i="1"/>
  <c r="E21" i="5"/>
  <c r="E29" i="7"/>
  <c r="F21" i="5"/>
  <c r="F29" i="7"/>
  <c r="F78" i="1"/>
  <c r="I31" i="1"/>
  <c r="I36" i="1"/>
  <c r="I37" i="1" s="1"/>
  <c r="I21" i="1"/>
  <c r="I18" i="1" s="1"/>
  <c r="A166" i="1"/>
  <c r="C165" i="1" a="1"/>
  <c r="C165" i="1" s="1"/>
  <c r="C36" i="1"/>
  <c r="C37" i="1" s="1"/>
  <c r="C52" i="1"/>
  <c r="C53" i="1" s="1"/>
  <c r="C54" i="1" s="1"/>
  <c r="C31" i="1"/>
  <c r="D53" i="5"/>
  <c r="D46" i="5"/>
  <c r="E27" i="5"/>
  <c r="C53" i="5"/>
  <c r="C46" i="5"/>
  <c r="D55" i="5"/>
  <c r="D48" i="5"/>
  <c r="C55" i="5"/>
  <c r="C48" i="5"/>
  <c r="C54" i="5"/>
  <c r="C47" i="5"/>
  <c r="E53" i="5"/>
  <c r="E46" i="5"/>
  <c r="D47" i="5"/>
  <c r="E29" i="5"/>
  <c r="E55" i="5"/>
  <c r="E54" i="5"/>
  <c r="D54" i="5"/>
  <c r="E48" i="5"/>
  <c r="E28" i="5"/>
  <c r="E47" i="5"/>
  <c r="D78" i="1"/>
  <c r="E48" i="2" l="1"/>
  <c r="E65" i="2"/>
  <c r="D124" i="1"/>
  <c r="D74" i="2"/>
  <c r="D51" i="2"/>
  <c r="G70" i="2"/>
  <c r="D48" i="2"/>
  <c r="G47" i="2"/>
  <c r="G43" i="2"/>
  <c r="G74" i="2" s="1"/>
  <c r="G51" i="2"/>
  <c r="H70" i="2"/>
  <c r="F70" i="2"/>
  <c r="H51" i="2"/>
  <c r="H43" i="2"/>
  <c r="H74" i="2" s="1"/>
  <c r="H47" i="2"/>
  <c r="F47" i="2"/>
  <c r="F43" i="2"/>
  <c r="F74" i="2" s="1"/>
  <c r="F51" i="2"/>
  <c r="I20" i="1"/>
  <c r="D20" i="1" s="1"/>
  <c r="I19" i="1"/>
  <c r="I23" i="1" s="1"/>
  <c r="A167" i="1"/>
  <c r="C166" i="1" a="1"/>
  <c r="C166" i="1" s="1"/>
  <c r="D166" i="1" s="1"/>
  <c r="E166" i="1" s="1"/>
  <c r="H28" i="5"/>
  <c r="F28" i="5"/>
  <c r="H29" i="5"/>
  <c r="F29" i="5"/>
  <c r="D165" i="1"/>
  <c r="E165" i="1" s="1"/>
  <c r="A50" i="5"/>
  <c r="J77" i="1"/>
  <c r="J78" i="1" s="1"/>
  <c r="J76" i="1"/>
  <c r="A42" i="5"/>
  <c r="C66" i="5" a="1"/>
  <c r="C66" i="5" s="1"/>
  <c r="C62" i="5" a="1"/>
  <c r="C62" i="5" s="1"/>
  <c r="C65" i="5" a="1"/>
  <c r="C65" i="5" s="1"/>
  <c r="C60" i="5" a="1"/>
  <c r="C60" i="5" s="1"/>
  <c r="G27" i="5"/>
  <c r="C61" i="5" a="1"/>
  <c r="C61" i="5" s="1"/>
  <c r="C63" i="5" a="1"/>
  <c r="C63" i="5" s="1"/>
  <c r="C64" i="5" a="1"/>
  <c r="C64" i="5" s="1"/>
  <c r="I22" i="1"/>
  <c r="D18" i="1"/>
  <c r="H27" i="5"/>
  <c r="F27" i="5"/>
  <c r="E64" i="5" a="1"/>
  <c r="E64" i="5" s="1"/>
  <c r="E65" i="5" a="1"/>
  <c r="E65" i="5" s="1"/>
  <c r="E60" i="5" a="1"/>
  <c r="E60" i="5" s="1"/>
  <c r="G29" i="5"/>
  <c r="E63" i="5" a="1"/>
  <c r="E63" i="5" s="1"/>
  <c r="E62" i="5" a="1"/>
  <c r="E62" i="5" s="1"/>
  <c r="E61" i="5" a="1"/>
  <c r="E61" i="5" s="1"/>
  <c r="E66" i="5" a="1"/>
  <c r="E66" i="5" s="1"/>
  <c r="K76" i="1"/>
  <c r="K77" i="1"/>
  <c r="K78" i="1" s="1"/>
  <c r="D66" i="5" a="1"/>
  <c r="D66" i="5" s="1"/>
  <c r="D61" i="5" a="1"/>
  <c r="D61" i="5" s="1"/>
  <c r="D62" i="5" a="1"/>
  <c r="D62" i="5" s="1"/>
  <c r="D63" i="5" a="1"/>
  <c r="D63" i="5" s="1"/>
  <c r="D65" i="5" a="1"/>
  <c r="D65" i="5" s="1"/>
  <c r="D64" i="5" a="1"/>
  <c r="D64" i="5" s="1"/>
  <c r="D60" i="5" a="1"/>
  <c r="D60" i="5" s="1"/>
  <c r="G28" i="5"/>
  <c r="C194" i="1" a="1"/>
  <c r="C194" i="1" s="1"/>
  <c r="B195" i="1"/>
  <c r="C195" i="1" s="1"/>
  <c r="G48" i="2" l="1"/>
  <c r="G65" i="2"/>
  <c r="F48" i="2"/>
  <c r="F65" i="2"/>
  <c r="H48" i="2"/>
  <c r="H65" i="2"/>
  <c r="D19" i="1"/>
  <c r="D21" i="1" s="1"/>
  <c r="I24" i="1"/>
  <c r="D195" i="1"/>
  <c r="E195" i="1" s="1"/>
  <c r="D194" i="1"/>
  <c r="E194" i="1" s="1"/>
  <c r="D22" i="1"/>
  <c r="F81" i="1"/>
  <c r="E81" i="1"/>
  <c r="D81" i="1"/>
  <c r="H68" i="2"/>
  <c r="H69" i="2" s="1"/>
  <c r="G68" i="2"/>
  <c r="G69" i="2" s="1"/>
  <c r="E68" i="2"/>
  <c r="E69" i="2" s="1"/>
  <c r="B68" i="2"/>
  <c r="B69" i="2" s="1"/>
  <c r="C68" i="2"/>
  <c r="C69" i="2" s="1"/>
  <c r="F68" i="2"/>
  <c r="F69" i="2" s="1"/>
  <c r="D68" i="2"/>
  <c r="D69" i="2" s="1"/>
  <c r="D24" i="1"/>
  <c r="C167" i="1" a="1"/>
  <c r="C167" i="1" s="1"/>
  <c r="D167" i="1" s="1"/>
  <c r="E167" i="1" s="1"/>
  <c r="A168" i="1"/>
  <c r="D30" i="1" l="1"/>
  <c r="D52" i="1" s="1"/>
  <c r="D53" i="1" s="1"/>
  <c r="D54" i="1" s="1"/>
  <c r="D28" i="1"/>
  <c r="D23" i="1"/>
  <c r="D27" i="1"/>
  <c r="A169" i="1"/>
  <c r="C168" i="1" a="1"/>
  <c r="C168" i="1" s="1"/>
  <c r="D168" i="1" s="1"/>
  <c r="E168" i="1" s="1"/>
  <c r="D82" i="1"/>
  <c r="D79" i="1" s="1"/>
  <c r="D83" i="1"/>
  <c r="E82" i="1"/>
  <c r="E79" i="1" s="1"/>
  <c r="E83" i="1"/>
  <c r="F83" i="1"/>
  <c r="F82" i="1"/>
  <c r="F79" i="1" s="1"/>
  <c r="D36" i="1"/>
  <c r="D37" i="1" s="1"/>
  <c r="D26" i="1"/>
  <c r="B200" i="1"/>
  <c r="D200" i="1" s="1"/>
  <c r="D31" i="1" l="1"/>
  <c r="C169" i="1" a="1"/>
  <c r="C169" i="1" s="1"/>
  <c r="A170" i="1"/>
  <c r="C170" i="1" s="1" a="1"/>
  <c r="C170" i="1" s="1"/>
  <c r="D171" i="1" s="1"/>
  <c r="E171" i="1" s="1"/>
  <c r="D170" i="1" l="1"/>
  <c r="E170" i="1" s="1"/>
  <c r="D169" i="1"/>
  <c r="E169" i="1" s="1"/>
  <c r="B198" i="1" l="1"/>
  <c r="D19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</author>
  </authors>
  <commentList>
    <comment ref="B9" authorId="0" shapeId="0" xr:uid="{00000000-0006-0000-0000-000001000000}">
      <text>
        <r>
          <rPr>
            <sz val="12"/>
            <color theme="1"/>
            <rFont val="Aptos Narrow"/>
            <family val="2"/>
            <scheme val="minor"/>
          </rPr>
          <t>Jenny:
https://www.theinformation.com/articles/anthropic-projects-70-billion-revenue-17-billion-cash-flow-2028?rc=eikhvd</t>
        </r>
      </text>
    </comment>
    <comment ref="C9" authorId="0" shapeId="0" xr:uid="{00000000-0006-0000-0000-000002000000}">
      <text>
        <r>
          <rPr>
            <sz val="12"/>
            <color theme="1"/>
            <rFont val="Aptos Narrow"/>
            <family val="2"/>
            <scheme val="minor"/>
          </rPr>
          <t>Jenny:
Source: The Information (reported), Anthropic 2025 revenue ~$4.5B. https://www.theinformation.com/articles/anthropic-lowers-profit-margin-projection-revenue-skyrockets</t>
        </r>
      </text>
    </comment>
    <comment ref="D9" authorId="0" shapeId="0" xr:uid="{00000000-0006-0000-0000-000003000000}">
      <text>
        <r>
          <rPr>
            <sz val="12"/>
            <color theme="1"/>
            <rFont val="Aptos Narrow"/>
            <family val="2"/>
            <scheme val="minor"/>
          </rPr>
          <t>Jenny:
Company's Dec 2025 optimistic outlooks
https://www.theinformation.com/articles/openai-boost-revenue-forecasts-predicts-112-billion-cash-burn-2030?rc=eikhvd</t>
        </r>
      </text>
    </comment>
    <comment ref="E9" authorId="0" shapeId="0" xr:uid="{00000000-0006-0000-0000-000004000000}">
      <text>
        <r>
          <rPr>
            <sz val="12"/>
            <color theme="1"/>
            <rFont val="Aptos Narrow"/>
            <family val="2"/>
            <scheme val="minor"/>
          </rPr>
          <t>Jenny:
Company's Dec 2025 optimistic outlooks
https://www.theinformation.com/articles/openai-boost-revenue-forecasts-predicts-112-billion-cash-burn-2030?rc=eikhvd</t>
        </r>
      </text>
    </comment>
    <comment ref="F9" authorId="0" shapeId="0" xr:uid="{00000000-0006-0000-0000-000005000000}">
      <text>
        <r>
          <rPr>
            <sz val="12"/>
            <color theme="1"/>
            <rFont val="Aptos Narrow"/>
            <family val="2"/>
            <scheme val="minor"/>
          </rPr>
          <t>Jenny:
Company's Dec 2025 optimistic outlooks
https://www.theinformation.com/articles/openai-boost-revenue-forecasts-predicts-112-billion-cash-burn-2030?rc=eikhvd</t>
        </r>
      </text>
    </comment>
    <comment ref="H9" authorId="0" shapeId="0" xr:uid="{00000000-0006-0000-0000-000006000000}">
      <text>
        <r>
          <rPr>
            <sz val="12"/>
            <color theme="1"/>
            <rFont val="Aptos Narrow"/>
            <family val="2"/>
            <scheme val="minor"/>
          </rPr>
          <t>Jenny:
Source: CNBC, May 20 2026 — Anthropic Q1 2026 revenue $4.8B.
https://www.cnbc.com/2026/05/20/anthropic-revenue-explosive-growth-ipo-profitable-quarter.html</t>
        </r>
      </text>
    </comment>
    <comment ref="I9" authorId="0" shapeId="0" xr:uid="{00000000-0006-0000-0000-000007000000}">
      <text>
        <r>
          <rPr>
            <sz val="12"/>
            <color theme="1"/>
            <rFont val="Aptos Narrow"/>
            <family val="2"/>
            <scheme val="minor"/>
          </rPr>
          <t>Jenny:
Source: CNBC, May 20 2026 — Anthropic on track for $10.9B revenue in Q2 2026 (more than doubled from Q1).
https://www.cnbc.com/2026/05/20/anthropic-revenue-explosive-growth-ipo-profitable-quarter.html</t>
        </r>
      </text>
    </comment>
    <comment ref="J9" authorId="0" shapeId="0" xr:uid="{DA1957AE-27B8-AF44-9C4B-F309080E109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FLOOR PLUG, not a forecast: the residual revenue needed to hit the $18B 2026 target (D9) after Q1-Q2 actuals, split evenly across Q3/Q4. This is why QoQ growth shows -89% and quarterly operating margins ~-200%. For a growth-based alternative, see the trailing-CMGR (compound monthly growth rate) ramp block at H174 (editable rate in J176).</t>
        </r>
      </text>
    </comment>
    <comment ref="K9" authorId="0" shapeId="0" xr:uid="{DF8273C4-7514-9D4E-BAA7-2BA0B8746C37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FLOOR PLUG, not a forecast — see note on J9.</t>
        </r>
      </text>
    </comment>
    <comment ref="B15" authorId="0" shapeId="0" xr:uid="{00000000-0006-0000-0000-000008000000}">
      <text>
        <r>
          <rPr>
            <sz val="12"/>
            <color theme="1"/>
            <rFont val="Aptos Narrow"/>
            <family val="2"/>
            <scheme val="minor"/>
          </rPr>
          <t>Jenny:
Source: The Information (Jan 22, 2026) — "Still, Anthropic’s gross margin has improved significantly from negative 94% in 2024."
https://www.theinformation.com/articles/anthropic-lowers-profit-margin-projection-revenue-skyrockets</t>
        </r>
      </text>
    </comment>
    <comment ref="C15" authorId="0" shapeId="0" xr:uid="{00000000-0006-0000-0000-000009000000}">
      <text>
        <r>
          <rPr>
            <sz val="12"/>
            <color theme="1"/>
            <rFont val="Aptos Narrow"/>
            <family val="2"/>
            <scheme val="minor"/>
          </rPr>
          <t>Jenny:
The Information (Jan 22, 2026) — "Anthropic last month projected it would generate a 40% gross profit margin from selling AI to businesses and application developers in 2025, according to two people with knowledge of its financials. "
https://www.theinformation.com/articles/anthropic-lowers-profit-margin-projection-revenue-skyrockets?rc=eikhvd</t>
        </r>
      </text>
    </comment>
    <comment ref="D15" authorId="0" shapeId="0" xr:uid="{00000000-0006-0000-0000-00000A000000}">
      <text>
        <r>
          <rPr>
            <sz val="12"/>
            <color theme="1"/>
            <rFont val="Aptos Narrow"/>
            <family val="2"/>
            <scheme val="minor"/>
          </rPr>
          <t>Jenny:
"Anthropic is on track for gross margins of roughly 44%, having spent $0.71 on computing power per dollar of revenue in the first quarter and a projected $0.56 in the second. If that number holds, it confirms half the case. The $965 billion mark prices a specific path: 40%-50% gross margins and $345 billion-$450 billion in 2030 revenue."
https://www.morningstar.com/stocks/anthropics-gross-margin-is-most-important-number-tech
Note Funda places blended gross margin ~60–70%, so interpolated the two:
https://fundaai.substack.com/p/deepllm-26h1-update-part-2-frontier</t>
        </r>
      </text>
    </comment>
    <comment ref="E15" authorId="0" shapeId="0" xr:uid="{00000000-0006-0000-0000-00000B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Interpolated gross margin (midpoint of 2026E 65% and 2028E 77%).</t>
        </r>
      </text>
    </comment>
    <comment ref="F15" authorId="0" shapeId="0" xr:uid="{00000000-0006-0000-0000-00000C000000}">
      <text>
        <r>
          <rPr>
            <sz val="12"/>
            <color theme="1"/>
            <rFont val="Aptos Narrow"/>
            <family val="2"/>
            <scheme val="minor"/>
          </rPr>
          <t>Source: The Information via TechCrunch (Nov 4, 2025) — COMPANY FORECAST: gross margin target 77% by 2028. Kept as-is deliberately (decision: company target is the anchor). Note the entire 2026-28 margin arc hangs on this single input: 2026 (D15) = AVERAGE(44%, 65%) and 2027 (E15) interpolates toward this cell.
https://techcrunch.com/2025/11/04/anthropic-expects-b2b-demand-to-boost-revenue-to-70b-in-2028-report/</t>
        </r>
      </text>
    </comment>
    <comment ref="C18" authorId="0" shapeId="0" xr:uid="{00000000-0006-0000-0000-00000D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https://x.com/edels0n/status/2069412680474022122</t>
        </r>
      </text>
    </comment>
    <comment ref="C19" authorId="0" shapeId="0" xr:uid="{00000000-0006-0000-0000-00000E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https://x.com/edels0n/status/2069412680474022122</t>
        </r>
      </text>
    </comment>
    <comment ref="C20" authorId="0" shapeId="0" xr:uid="{00000000-0006-0000-0000-00000F000000}">
      <text>
        <r>
          <rPr>
            <sz val="12"/>
            <color theme="1"/>
            <rFont val="Aptos Narrow"/>
            <family val="2"/>
            <scheme val="minor"/>
          </rPr>
          <t>Jenny:
https://x.com/edels0n/status/2069412680474022122</t>
        </r>
      </text>
    </comment>
    <comment ref="D30" authorId="0" shapeId="0" xr:uid="{00000000-0006-0000-0000-000010000000}">
      <text>
        <r>
          <rPr>
            <sz val="12"/>
            <color theme="1"/>
            <rFont val="Aptos Narrow"/>
            <family val="2"/>
            <scheme val="minor"/>
          </rPr>
          <t>Bottom-up (Gross Profit + opex), NOT an external pull. Cross-check: Coatue estimated ~-$14B EBITDA for 2026. This line is operating profit (EBIT); EBIT = EBITDA - D&amp;A, and with D&amp;A ~$0.35B, EBIT ≈ -$14.4B — consistent with Coatue once D&amp;A is bridged. Source: Newcomer / Coatue.</t>
        </r>
      </text>
    </comment>
    <comment ref="I34" authorId="0" shapeId="0" xr:uid="{00000000-0006-0000-0000-000011000000}">
      <text>
        <r>
          <rPr>
            <sz val="12"/>
            <color rgb="FF000000"/>
            <rFont val="Aptos Narrow"/>
            <family val="2"/>
          </rPr>
          <t xml:space="preserve">Q2 profit leaned on a discounted Colossus window; SpaceX deal normalizes to $1.25B/mo ($15B/yr) through May 2029 (SpaceX IPO prospectus). Now driven by the Drivers block (rows 40-42): discount window </t>
        </r>
        <r>
          <rPr>
            <sz val="12"/>
            <color rgb="FF000000"/>
            <rFont val="Aptos Narrow"/>
            <family val="2"/>
          </rPr>
          <t>×</t>
        </r>
        <r>
          <rPr>
            <sz val="12"/>
            <color rgb="FF000000"/>
            <rFont val="Aptos Narrow"/>
            <family val="2"/>
          </rPr>
          <t xml:space="preserve"> (normalized rate − est. rate paid).</t>
        </r>
      </text>
    </comment>
    <comment ref="C35" authorId="0" shapeId="0" xr:uid="{386E983F-5E99-C84F-AED2-403DB045DDF1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Estimate: 2025 burn of partner compute-credit pools. No official source discloses a credit/burn schedule — the annual $ is judgment. Pool anchors: Amazon's $8B total investment with AWS (Amazon Web Services) as primary cloud &amp; training partner (Source: Anthropic, https://www.anthropic.com/news/anthropic-amazon-trainium) and the Google Cloud TPU (Tensor Processing Unit) partnership expanded in Oct 2025 to up to 1M TPUs worth tens of $B (Source: Anthropic, https://www.anthropic.com/news/expanding-our-use-of-google-cloud-tpus-and-services).</t>
        </r>
      </text>
    </comment>
    <comment ref="E35" authorId="0" shapeId="0" xr:uid="{22BE4DF2-72C4-C747-B3DC-7833B87289FA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Estimate: 2027 burn of partner compute-credit pools. No official source discloses a credit/burn schedule — the annual $ is judgment. Anchors: Google/Broadcom expansion delivering multiple GW (gigawatts) of TPU (Tensor Processing Unit) capacity starting 2027 (Source: Anthropic, https://www.anthropic.com/news/google-broadcom-partnership-compute) and the AWS (Amazon Web Services) deal — up to $20B further investment, &gt;$100B committed over 10 years, up to 5 GW (Source: Anthropic, https://www.anthropic.com/news/anthropic-amazon-compute).</t>
        </r>
      </text>
    </comment>
    <comment ref="F35" authorId="0" shapeId="0" xr:uid="{E103B92A-C8B2-044B-9D6A-93565120A7EB}">
      <text>
        <r>
          <rPr>
            <b/>
            <sz val="10"/>
            <color rgb="FF000000"/>
            <rFont val="Tahoma"/>
            <family val="2"/>
          </rPr>
          <t>Estimate: 2028 burn of partner compute-credit pools; steps down as the ~$9B pool (per note in M35) is fully recognized by end-2028. No official source discloses a credit/burn schedule — the annual $ is judgment. Anchors: AWS (Amazon Web Services) deal (Source: Anthropic, https://www.anthropic.com/news/anthropic-amazon-compute) and Google/Broadcom multi-GW (gigawatt) expansion (Source: Anthropic, https://www.anthropic.com/news/google-broadcom-partnership-compute).</t>
        </r>
      </text>
    </comment>
    <comment ref="H35" authorId="0" shapeId="0" xr:uid="{E1490E55-6535-7747-8556-B1D0AF7C07F4}">
      <text>
        <r>
          <rPr>
            <b/>
            <sz val="10"/>
            <color rgb="FF000000"/>
            <rFont val="Tahoma"/>
            <family val="2"/>
          </rPr>
          <t>Estimate: quarterly burn of partner compute-credit pools. No official source discloses a credit/burn schedule — the $B/qtr split is judgment. Pool anchors: Amazon's $8B total investment with AWS (Amazon Web Services) as primary cloud &amp; training partner (Source: Anthropic, https://www.anthropic.com/news/anthropic-amazon-trainium) and Google Cloud TPU (Tensor Processing Unit) expansion worth tens of $B (Source: Anthropic, https://www.anthropic.com/news/expanding-our-use-of-google-cloud-tpus-and-services).</t>
        </r>
      </text>
    </comment>
    <comment ref="I35" authorId="0" shapeId="0" xr:uid="{00000000-0006-0000-0000-000012000000}">
      <text>
        <r>
          <rPr>
            <sz val="12"/>
            <color rgb="FF000000"/>
            <rFont val="Aptos Narrow"/>
            <family val="2"/>
          </rPr>
          <t>Estimate: quarterly burn of partner compute-credit pools. No official source discloses a credit/burn schedule — the $B/qtr split is judgment. Pool anchors: Amazon's $8B total investment with AWS (Amazon Web Services) as primary cloud &amp; training partner (Source: Anthropic, https://www.anthropic.com/news/anthropic-amazon-trainium) and Google Cloud TPU (Tensor Processing Unit) expansion worth tens of $B (Source: Anthropic, https://www.anthropic.com/news/expanding-our-use-of-google-cloud-tpus-and-services).</t>
        </r>
      </text>
    </comment>
    <comment ref="J35" authorId="0" shapeId="0" xr:uid="{DF68CFD8-2317-0243-A4AC-AB2E8CA1285A}">
      <text>
        <r>
          <rPr>
            <b/>
            <sz val="10"/>
            <color rgb="FF000000"/>
            <rFont val="Tahoma"/>
            <family val="2"/>
          </rPr>
          <t>Estimate: burn steps up to ~$1B/qtr in H2'26 as subsidized capacity ramps — AWS (Amazon Web Services) deal brings significant Trainium2 online in Q2'26 and nearly 1 GW (gigawatt) by end-2026 (Source: Anthropic, https://www.anthropic.com/news/anthropic-amazon-compute); Google TPU (Tensor Processing Unit) deal brings well over 1 GW online in 2026 (Source: Anthropic, https://www.anthropic.com/news/expanding-our-use-of-google-cloud-tpus-and-services). Quarterly $ split is judgment — no disclosed schedule.</t>
        </r>
      </text>
    </comment>
    <comment ref="K35" authorId="0" shapeId="0" xr:uid="{10004C0F-8A1F-624C-95E1-643CECAE5D2F}">
      <text>
        <r>
          <rPr>
            <b/>
            <sz val="10"/>
            <color rgb="FF000000"/>
            <rFont val="Tahoma"/>
            <family val="2"/>
          </rPr>
          <t>Estimate: burn steps up to ~$1B/qtr in H2'26 as subsidized capacity ramps — AWS (Amazon Web Services) deal brings significant Trainium2 online in Q2'26 and nearly 1 GW (gigawatt) by end-2026 (Source: Anthropic, https://www.anthropic.com/news/anthropic-amazon-compute); Google TPU (Tensor Processing Unit) deal brings well over 1 GW online in 2026 (Source: Anthropic, https://www.anthropic.com/news/expanding-our-use-of-google-cloud-tpus-and-services). Quarterly $ split is judgment — no disclosed schedule.</t>
        </r>
      </text>
    </comment>
    <comment ref="B40" authorId="0" shapeId="0" xr:uid="{5993FBF6-8405-5D42-8ED0-70D0816B0141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SpaceX deal normalizes Colossus compute to $1.25B/mo ($15B/yr for 0.3 GW (gigawatt)) through May 2029. Source: SpaceX IPO prospectus. Ties to the '$15B/yr bench.' label in the Compute Timeline below.</t>
        </r>
      </text>
    </comment>
    <comment ref="B41" authorId="0" shapeId="0" xr:uid="{55A0EC57-C9E1-D842-B2AA-BEE404E60C2A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Portion of Q2 2026 in which Anthropic leaned on the discounted Colossus window.</t>
        </r>
      </text>
    </comment>
    <comment ref="B42" authorId="0" shapeId="0" xr:uid="{B5394A58-EE3B-2241-9CBC-527BE0EAFB6A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Judgment input — no source discloses what Anthropic actually paid during the discounted window. Set to preserve the prior ($1.5B) Q2 normalization: 2 mo × ($1.25B − $0.50B) = $1.5B.</t>
        </r>
      </text>
    </comment>
    <comment ref="B47" authorId="0" shapeId="0" xr:uid="{00000000-0006-0000-0000-000013000000}">
      <text>
        <r>
          <rPr>
            <sz val="12"/>
            <color rgb="FF000000"/>
            <rFont val="Aptos Narrow"/>
            <family val="2"/>
          </rPr>
          <t>Linked to the tab's own 2025 bottoms-up: API / cloud-channel share of revenue (E133, ~60%). Previously hardcoded 80% per Sacra — the two disagreed on the same tab; bottoms-up (which ties to reported revenue within 0.0%) chosen as the operative estimate. Overwrite with 0.8 to revert to the Sacra view. Drives rows 41/44 (net revenue, on par with OAI).</t>
        </r>
      </text>
    </comment>
    <comment ref="B48" authorId="0" shapeId="0" xr:uid="{00000000-0006-0000-0000-000014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Assumption: reseller's cut of channel revenue (the amount remitted to the cloud partner). Placeholder — flex this.</t>
        </r>
      </text>
    </comment>
    <comment ref="B53" authorId="0" shapeId="0" xr:uid="{00000000-0006-0000-0000-000015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2024 D&amp;A: small labeled input. Anthropic owned almost no compute in 2024 (rented from AWS/GCP), so D&amp;A negligible. No independent 2024 operating-profit leak exists to imply D&amp;A from (only EBITDA is leaked), so the two-leak method used for 2025–28 can't run here. Immaterial to model conclusions.</t>
        </r>
      </text>
    </comment>
    <comment ref="C53" authorId="0" shapeId="0" xr:uid="{00000000-0006-0000-0000-000016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Implied D&amp;A = leaked EBITDA (row 52) − leaked operating profit/EBIT (row 47). Honors both leaks per chosen reconciliation. High % of revenue in early years reflects tiny revenue base and the gap between the two leaked figures; ratio declines 129%→51%→18%→9% (2025→2028).</t>
        </r>
      </text>
    </comment>
    <comment ref="I53" authorId="0" shapeId="0" xr:uid="{00000000-0006-0000-0000-000017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 xml:space="preserve">Q2 2026 D&amp;A. Set to ~1/4 of the annual implied D&amp;A ($9.11B; row 48, col D), since D&amp;A is asset-driven and roughly level across quarters — NOT a % of Q2's revenue (Q2 carries ~60% of full-year revenue, which would over-allocate D&amp;A). Hardcoded rather than =$D$48/4 because the annual figure aggregates from the quarterly columns, so a live link creates a circular reference. Prior value ($8.7B = 80% </t>
        </r>
        <r>
          <rPr>
            <sz val="12"/>
            <color rgb="FF000000"/>
            <rFont val="Aptos Narrow"/>
            <family val="2"/>
          </rPr>
          <t>×</t>
        </r>
        <r>
          <rPr>
            <sz val="12"/>
            <color rgb="FF000000"/>
            <rFont val="Aptos Narrow"/>
            <family val="2"/>
          </rPr>
          <t xml:space="preserve"> revenue) understated Q2 profitability given its +$559M EBITDA ex-SBC anchor.</t>
        </r>
      </text>
    </comment>
    <comment ref="H54" authorId="0" shapeId="0" xr:uid="{00000000-0006-0000-0000-000018000000}">
      <text>
        <r>
          <rPr>
            <sz val="12"/>
            <color theme="1"/>
            <rFont val="Aptos Narrow"/>
            <family val="2"/>
            <scheme val="minor"/>
          </rPr>
          <t>Jenny:
Quarterly D&amp;A % (2026). Hardcoded input — previously =$D$49, which created a circular reference once annual D49 became a formula (annual 2026 figures aggregate from these quarters). Decoupled here. NOTE: 80% quarterly vs 50.6% annual implied are inconsistent — to be reconciled in the separate quarterly rebuild.</t>
        </r>
      </text>
    </comment>
    <comment ref="B57" authorId="0" shapeId="0" xr:uid="{00000000-0006-0000-0000-000019000000}">
      <text>
        <r>
          <rPr>
            <sz val="12"/>
            <color theme="1"/>
            <rFont val="Aptos Narrow"/>
            <family val="2"/>
            <scheme val="minor"/>
          </rPr>
          <t>Jenny:
Leaked EBITDA. WSJ chart estimate ('profit including training costs' = EBITDA per WSJ note). Source: WSJ Pull.</t>
        </r>
      </text>
    </comment>
    <comment ref="D57" authorId="0" shapeId="0" xr:uid="{00000000-0006-0000-0000-00001A000000}">
      <text>
        <r>
          <rPr>
            <sz val="12"/>
            <color theme="1"/>
            <rFont val="Aptos Narrow"/>
            <family val="2"/>
            <scheme val="minor"/>
          </rPr>
          <t>Jenny:
2026 EBITDA = Coatue estimate (-$14B), used for 2026 only (more conservative than WSJ's -11). Source: Newcomer / Coatue, newcomer.co/p/coatue-projected-1995-trillion-valuation.</t>
        </r>
      </text>
    </comment>
    <comment ref="I59" authorId="0" shapeId="0" xr:uid="{00000000-0006-0000-0000-00001B000000}">
      <text>
        <r>
          <rPr>
            <sz val="12"/>
            <color theme="1"/>
            <rFont val="Aptos Narrow"/>
            <family val="2"/>
            <scheme val="minor"/>
          </rPr>
          <t>Jenny:
Source: CNBC/WSJ, May 2026 — Q2 2026 operating profit $559M; includes model-training cost, EXCLUDES stock-based compensation.</t>
        </r>
      </text>
    </comment>
    <comment ref="B61" authorId="0" shapeId="0" xr:uid="{00000000-0006-0000-0000-00001C000000}">
      <text>
        <r>
          <rPr>
            <sz val="12"/>
            <color theme="1"/>
            <rFont val="Aptos Narrow"/>
            <family val="2"/>
            <scheme val="minor"/>
          </rPr>
          <t>Jenny:
https://www.theinformation.com/articles/anthropic-projects-soaring-growth-to-34-5-billion-in-2027-revenue?ref=wheresyoured.at&amp;rc=eikhvd</t>
        </r>
      </text>
    </comment>
    <comment ref="I62" authorId="0" shapeId="0" xr:uid="{00000000-0006-0000-0000-00001D000000}">
      <text>
        <r>
          <rPr>
            <sz val="12"/>
            <color theme="1"/>
            <rFont val="Aptos Narrow"/>
            <family val="2"/>
            <scheme val="minor"/>
          </rPr>
          <t xml:space="preserve">Jenny:
Source: DeepLLM 26H1 Update Part 2 (Funda AI, Substack) — Anthropic turned cash-flow positive; FCF margin ~15–20%. </t>
        </r>
      </text>
    </comment>
    <comment ref="D71" authorId="0" shapeId="0" xr:uid="{00000000-0006-0000-0000-00001E000000}">
      <text>
        <r>
          <rPr>
            <sz val="12"/>
            <color theme="1"/>
            <rFont val="Aptos Narrow"/>
            <family val="2"/>
            <scheme val="minor"/>
          </rPr>
          <t>Jenny:
Support, inference ops, content/safety — the non-compute portion of cost of revenue. Flex.</t>
        </r>
      </text>
    </comment>
    <comment ref="B87" authorId="0" shapeId="0" xr:uid="{00000000-0006-0000-0000-00001F000000}">
      <text>
        <r>
          <rPr>
            <sz val="12"/>
            <color theme="1"/>
            <rFont val="Aptos Narrow"/>
            <family val="2"/>
            <scheme val="minor"/>
          </rPr>
          <t>Jenny:
https://archive.is/mvJbA</t>
        </r>
      </text>
    </comment>
    <comment ref="C87" authorId="0" shapeId="0" xr:uid="{00000000-0006-0000-0000-000020000000}">
      <text>
        <r>
          <rPr>
            <sz val="12"/>
            <color theme="1"/>
            <rFont val="Aptos Narrow"/>
            <family val="2"/>
            <scheme val="minor"/>
          </rPr>
          <t>Jenny:
https://archive.is/mvJbA</t>
        </r>
      </text>
    </comment>
    <comment ref="D87" authorId="0" shapeId="0" xr:uid="{00000000-0006-0000-0000-000021000000}">
      <text>
        <r>
          <rPr>
            <sz val="12"/>
            <color theme="1"/>
            <rFont val="Aptos Narrow"/>
            <family val="2"/>
            <scheme val="minor"/>
          </rPr>
          <t>Jenny:
Unverified sources place around 3000-5000 current employees
https://www.saastr.com/anthropic-only-has-5000-employees-almost-no-one-has-ever-been-this-efficient-thats-by-choice/</t>
        </r>
      </text>
    </comment>
    <comment ref="B115" authorId="0" shapeId="0" xr:uid="{00000000-0006-0000-0000-000022000000}">
      <text>
        <r>
          <rPr>
            <sz val="12"/>
            <color theme="1"/>
            <rFont val="Aptos Narrow"/>
            <family val="2"/>
            <scheme val="minor"/>
          </rPr>
          <t>Jenny:
Series D ≈ $750M, led by Menlo Ventures, Feb 2024. Primary equity round; excludes pre-2024 rounds and strategic compute-linked investments (Amazon/Google/Microsoft/Nvidia). Source: press reports (Techzine / Menlo Ventures), Feb 2024.</t>
        </r>
      </text>
    </comment>
    <comment ref="C115" authorId="0" shapeId="0" xr:uid="{00000000-0006-0000-0000-000023000000}">
      <text>
        <r>
          <rPr>
            <sz val="12"/>
            <color theme="1"/>
            <rFont val="Aptos Narrow"/>
            <family val="2"/>
            <scheme val="minor"/>
          </rPr>
          <t>Jenny:
Series E $3.5B at $61.5B post-money (Mar 2025) + Series F $13B at $183B post-money (Sep 2025). Source: Anthropic, https://www.anthropic.com/news/anthropic-raises-series-e-at-usd61-5b-post-money-valuation and https://www.anthropic.com/news/anthropic-raises-series-f-at-usd183b-post-money-valuation</t>
        </r>
      </text>
    </comment>
    <comment ref="D115" authorId="0" shapeId="0" xr:uid="{00000000-0006-0000-0000-000024000000}">
      <text>
        <r>
          <rPr>
            <sz val="12"/>
            <color theme="1"/>
            <rFont val="Aptos Narrow"/>
            <family val="2"/>
            <scheme val="minor"/>
          </rPr>
          <t>Jenny:
Series G $30B at $380B post-money (Feb 2026) + Series H $65B at $965B post-money (Apr–May 2026) = $95B
Source: Anthropic, https://www.anthropic.com/news/series-h ; Series G per Wikipedia/Forbes.</t>
        </r>
      </text>
    </comment>
    <comment ref="E115" authorId="0" shapeId="0" xr:uid="{00000000-0006-0000-0000-000025000000}">
      <text>
        <r>
          <rPr>
            <sz val="12"/>
            <color theme="1"/>
            <rFont val="Aptos Narrow"/>
            <family val="2"/>
            <scheme val="minor"/>
          </rPr>
          <t>Jenny:
No primary equity round announced for 2027 as of Jun 2026.</t>
        </r>
      </text>
    </comment>
    <comment ref="F115" authorId="0" shapeId="0" xr:uid="{00000000-0006-0000-0000-000026000000}">
      <text>
        <r>
          <rPr>
            <sz val="12"/>
            <color theme="1"/>
            <rFont val="Aptos Narrow"/>
            <family val="2"/>
            <scheme val="minor"/>
          </rPr>
          <t>Jenny:
No primary equity round announced for 2028 as of Jun 2026.</t>
        </r>
      </text>
    </comment>
    <comment ref="D119" authorId="0" shapeId="0" xr:uid="{00000000-0006-0000-0000-000027000000}">
      <text>
        <r>
          <rPr>
            <sz val="12"/>
            <color theme="1"/>
            <rFont val="Aptos Narrow"/>
            <family val="2"/>
            <scheme val="minor"/>
          </rPr>
          <t xml:space="preserve">Jenny:
$/hr per 10 MW × 100 (MW→GW) × 8,760 hr/yr, converted to $B.
</t>
        </r>
      </text>
    </comment>
    <comment ref="E119" authorId="0" shapeId="0" xr:uid="{00000000-0006-0000-0000-000028000000}">
      <text>
        <r>
          <rPr>
            <sz val="12"/>
            <color theme="1"/>
            <rFont val="Aptos Narrow"/>
            <family val="2"/>
            <scheme val="minor"/>
          </rPr>
          <t xml:space="preserve">Jenny:
$/hr per 10 MW × 100 (MW→GW) × 8,760 hr/yr, converted to $B.
</t>
        </r>
      </text>
    </comment>
    <comment ref="F119" authorId="0" shapeId="0" xr:uid="{00000000-0006-0000-0000-000029000000}">
      <text>
        <r>
          <rPr>
            <sz val="12"/>
            <color theme="1"/>
            <rFont val="Aptos Narrow"/>
            <family val="2"/>
            <scheme val="minor"/>
          </rPr>
          <t xml:space="preserve">Jenny:
$/hr per 10 MW × 100 (MW→GW) × 8,760 hr/yr, converted to $B.
</t>
        </r>
      </text>
    </comment>
    <comment ref="D120" authorId="0" shapeId="0" xr:uid="{00000000-0006-0000-0000-00002A000000}">
      <text>
        <r>
          <rPr>
            <sz val="12"/>
            <color theme="1"/>
            <rFont val="Aptos Narrow"/>
            <family val="2"/>
            <scheme val="minor"/>
          </rPr>
          <t>$22.1k per hour per 10 MW pod — Colossus contracted rate, JPM 'Semiquincententacles' (Jun 2026). ⇒ ~$19.4B per GW-yr (row 114). https://assets.jpmprivatebank.com/content/dam/jpm-pb-aem/global/en/documents/eotm/semiquincententacles.pdf
BENCHMARK CHOICE: the SpaceX/Colossus normalization used elsewhere on this tab ($15B/yr for 0.3 GW — rows 95/102 and the I34 note) implies ~$50B per GW-yr all-in, ~2.6x this rate, because it bundles more than metered compute. The committed-cost build deliberately uses the lower CONTRACTED rate (conservative on committed cost); the stress test in rows 122-127 shows even this rate cannot be paid literally at retail.</t>
        </r>
      </text>
    </comment>
    <comment ref="E120" authorId="0" shapeId="0" xr:uid="{00000000-0006-0000-0000-00002B000000}">
      <text>
        <r>
          <rPr>
            <sz val="12"/>
            <color rgb="FF000000"/>
            <rFont val="Aptos Narrow"/>
            <family val="2"/>
          </rPr>
          <t>= single rate input in D115 (see its note for the benchmark reconciliation). Previously a duplicate hardcode.</t>
        </r>
      </text>
    </comment>
    <comment ref="F120" authorId="0" shapeId="0" xr:uid="{00000000-0006-0000-0000-00002C000000}">
      <text>
        <r>
          <rPr>
            <sz val="12"/>
            <color theme="1"/>
            <rFont val="Aptos Narrow"/>
            <family val="2"/>
            <scheme val="minor"/>
          </rPr>
          <t>= single rate input in D115 (see its note for the benchmark reconciliation). Previously a duplicate hardcode.</t>
        </r>
      </text>
    </comment>
    <comment ref="D122" authorId="0" shapeId="0" xr:uid="{C0D6CFA5-AC64-8841-992A-F9077D97FCC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Proxy: no Anthropic-specific serving/training split is disclosed. Uses OpenAI's disclosed cumulative 2026–30 compute mix — inference $225B of $665B total (The Information; OpenAI tab B57/B58) ≈ 34%. Overwrite with an Anthropic-specific estimate if one lands. Cross-check: the Margin Model's ~91% serving GM implies only ~$1.6B of 2026 compute serves current revenue, so 34% is conservative (high) for today and reasonable as a 2026–30 average.</t>
        </r>
      </text>
    </comment>
    <comment ref="A130" authorId="0" shapeId="0" xr:uid="{68D11A0C-D8C9-0C4F-87E4-B7DAA202BB9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Retitled from 'Retail Compute Cost Stress Test' — the rate used is the CONTRACTED Colossus rate (D115), not retail; and the test now splits serving vs training capacity (rows 117–119) so committed training build-out is not charged against current-year gross margin.</t>
        </r>
      </text>
    </comment>
    <comment ref="A133" authorId="0" shapeId="0" xr:uid="{1F4D001A-DC91-7740-B0C1-027E9AF75BC5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Memo only: charges 100% of committed capacity (mostly training build-out) against current-year revenue — a cash-burden ratio, not a true gross-margin statement. See the serving-only line below for the margin-relevant version.</t>
        </r>
      </text>
    </comment>
    <comment ref="D134" authorId="0" shapeId="0" xr:uid="{3AABD123-FA38-3A4F-B47C-62BF81108AB9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Serving-allocated committed cost (row 118) ÷ revenue. Even on the serving share alone at contracted rates, GM runs ~4% / 20% / 31% (2026–28) vs model GM 55% / 66% / 77% — the margin finding survives the serving/training split.</t>
        </r>
      </text>
    </comment>
    <comment ref="D155" authorId="0" shapeId="0" xr:uid="{00000000-0006-0000-0000-00002D000000}">
      <text>
        <r>
          <rPr>
            <sz val="12"/>
            <color theme="1"/>
            <rFont val="Aptos Narrow"/>
            <family val="2"/>
            <scheme val="minor"/>
          </rPr>
          <t>Jenny:
Source: TechCrunch / Indagari, Mar 28 2026 — total Claude consumer users estimated 18–30M (not disclosed by Anthropic); 24M = midpoint. https://techcrunch.com (Julie Bort, 'Anthropic's Claude popularity with paying consumers is skyrocketing').</t>
        </r>
      </text>
    </comment>
    <comment ref="B160" authorId="0" shapeId="0" xr:uid="{00000000-0006-0000-0000-00002E000000}">
      <text>
        <r>
          <rPr>
            <sz val="12"/>
            <color theme="1"/>
            <rFont val="Aptos Narrow"/>
            <family val="2"/>
            <scheme val="minor"/>
          </rPr>
          <t>Jenny:
Source: VentureBeat (May 2026), citing Anthropic/Dario Amodei-stated trajectory — ~$87M annualized revenue run-rate in January 2024 (reported figure; Anthropic is private and does not file). https://venturebeat.com/technology/anthropic-says-it-hit-a-30-billion-revenue-run-rate-after-crazy-80x-growth</t>
        </r>
      </text>
    </comment>
    <comment ref="B171" authorId="0" shapeId="0" xr:uid="{00000000-0006-0000-0000-00002F000000}">
      <text>
        <r>
          <rPr>
            <sz val="12"/>
            <color theme="1"/>
            <rFont val="Aptos Narrow"/>
            <family val="2"/>
            <scheme val="minor"/>
          </rPr>
          <t>Jenny:
https://venturebeat.com/technology/anthropic-says-it-hit-a-30-billion-revenue-run-rate-after-crazy-80x-growth</t>
        </r>
      </text>
    </comment>
    <comment ref="J185" authorId="0" shapeId="0" xr:uid="{00000000-0006-0000-0000-000030000000}">
      <text>
        <r>
          <rPr>
            <sz val="12"/>
            <color theme="1"/>
            <rFont val="Aptos Narrow"/>
            <family val="2"/>
            <scheme val="minor"/>
          </rPr>
          <t>Jenny:
Defaults to the trailing compound monthly growth rate. Override this cell to dampen the ramp (e.g. decelerate the projection).</t>
        </r>
      </text>
    </comment>
    <comment ref="B188" authorId="0" shapeId="0" xr:uid="{00000000-0006-0000-0000-000031000000}">
      <text>
        <r>
          <rPr>
            <sz val="12"/>
            <color theme="1"/>
            <rFont val="Aptos Narrow"/>
            <family val="2"/>
            <scheme val="minor"/>
          </rPr>
          <t>Jenny:
May 2026. Source: https://www.anthropic.com/news/series-h</t>
        </r>
      </text>
    </comment>
    <comment ref="B189" authorId="0" shapeId="0" xr:uid="{00000000-0006-0000-0000-000032000000}">
      <text>
        <r>
          <rPr>
            <sz val="12"/>
            <color theme="1"/>
            <rFont val="Aptos Narrow"/>
            <family val="2"/>
            <scheme val="minor"/>
          </rPr>
          <t>Jenny:
Rumored...
https://x.com/fi56622380/status/2070240729520373853</t>
        </r>
      </text>
    </comment>
    <comment ref="C195" authorId="0" shapeId="0" xr:uid="{00000000-0006-0000-0000-000033000000}">
      <text>
        <r>
          <rPr>
            <sz val="12"/>
            <color theme="1"/>
            <rFont val="Aptos Narrow"/>
            <family val="2"/>
            <scheme val="minor"/>
          </rPr>
          <t>Jenny:
Last month in the block: no later known ARR exists to interpolate toward, so this returns the month's own ARR if entered in B102, otherwise blank. (Prior formula referenced C102 itself — a circular reference.)</t>
        </r>
      </text>
    </comment>
    <comment ref="D204" authorId="0" shapeId="0" xr:uid="{645BB03C-07AB-8747-8F9D-E47C6FD72757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Anthropic — Series E $3.5B at $61.5B post-money (Mar 2025). https://www.anthropic.com/news/anthropic-raises-series-e-at-usd61-5b-post-money-valuation</t>
        </r>
      </text>
    </comment>
    <comment ref="E204" authorId="0" shapeId="0" xr:uid="{B213804C-18B0-E14E-9E84-0D212012D191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Interpolated ARR (annual recurring revenue) at the round month, from the monthly reconciliation above (column C). Anchors are company/press-reported run-rates.</t>
        </r>
      </text>
    </comment>
    <comment ref="F204" authorId="0" shapeId="0" xr:uid="{55F6A896-0F57-3F4E-BA5A-92476BA16697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Uses post-money equity value as an EV (enterprise value) proxy; Anthropic's net cash makes true EV somewhat lower, so these multiples are modestly overstated.</t>
        </r>
      </text>
    </comment>
    <comment ref="D205" authorId="0" shapeId="0" xr:uid="{50AD5F24-5204-694A-B384-091801AA5EF8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Anthropic — Series F $13B at $183B post-money (Sep 2025). https://www.anthropic.com/news/anthropic-raises-series-f-at-usd183b-post-money-valuation</t>
        </r>
      </text>
    </comment>
    <comment ref="D206" authorId="0" shapeId="0" xr:uid="{4934D2E0-04EF-D141-BF3A-1A26F931039A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Series G $30B at $380B post-money (Feb 2026), per Wikipedia/Forbes (as cited on the funding row above; no primary Anthropic page).</t>
        </r>
      </text>
    </comment>
    <comment ref="D207" authorId="0" shapeId="0" xr:uid="{15A09CC8-BB01-CE45-B564-D6C1A93F592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Anthropic — Series H $65B at $965B post-money (Apr–May 2026). https://www.anthropic.com/news/series-h</t>
        </r>
      </text>
    </comment>
    <comment ref="E207" authorId="0" shapeId="0" xr:uid="{7BB074AA-E6CF-F747-A73F-8F4B542C3957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May 2026 reported run-rate ($47B) — the month the round closed.</t>
        </r>
      </text>
    </comment>
    <comment ref="F211" authorId="0" shapeId="0" xr:uid="{6C0835A7-2FAA-B14C-978C-6FE42D4C3FDD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Sum of the 2027 and 2028 funding gaps from section C (committed compute cost less equity raised).</t>
        </r>
      </text>
    </comment>
    <comment ref="F212" authorId="0" shapeId="0" xr:uid="{B2BD56F0-E647-4340-A5A3-08BBC8E1E70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Assumes the entire 2027–28 committed-compute gap is funded with primary equity priced at the Series H $965B post-money: gap ÷ (post-money + gap). Debt, partner credits, or revenue outperformance would reduce this.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</author>
  </authors>
  <commentList>
    <comment ref="B12" authorId="0" shapeId="0" xr:uid="{00000000-0006-0000-0100-000001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 xml:space="preserve">Source: Where's Your Ed At (FT-verified), audited OpenAI financials. https://www.wheresyoured.at/exclusive-openai-financials/
</t>
        </r>
        <r>
          <rPr>
            <sz val="12"/>
            <color rgb="FF000000"/>
            <rFont val="Aptos Narrow"/>
            <family val="2"/>
          </rPr>
          <t xml:space="preserve">
</t>
        </r>
        <r>
          <rPr>
            <sz val="12"/>
            <color rgb="FF000000"/>
            <rFont val="Aptos Narrow"/>
            <family val="2"/>
          </rPr>
          <t>Verified by The Information: https://archive.is/20260122224944/https://www.theinformation.com/articles/anthropic-lowers-profit-margin-projection-revenue-skyrockets#selection-1663.0-1666.0</t>
        </r>
      </text>
    </comment>
    <comment ref="C12" authorId="0" shapeId="0" xr:uid="{00000000-0006-0000-0100-000002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(FT-verified), audited OpenAI financials. https://www.wheresyoured.at/exclusive-openai-financials/
Verified by The Information: https://archive.is/20260122224944/https://www.theinformation.com/articles/anthropic-lowers-profit-margin-projection-revenue-skyrockets#selection-1663.0-1666.0</t>
        </r>
      </text>
    </comment>
    <comment ref="D12" authorId="0" shapeId="0" xr:uid="{00000000-0006-0000-0100-000003000000}">
      <text>
        <r>
          <rPr>
            <sz val="12"/>
            <color theme="1"/>
            <rFont val="Aptos Narrow"/>
            <family val="2"/>
            <scheme val="minor"/>
          </rPr>
          <t>Jenny:
https://www.theinformation.com/articles/openai-boost-revenue-forecasts-predicts-112-billion-cash-burn-2030?rc=eikhvd</t>
        </r>
      </text>
    </comment>
    <comment ref="E12" authorId="0" shapeId="0" xr:uid="{00000000-0006-0000-0100-000004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https://www.theinformation.com/articles/openai-boost-revenue-forecasts-predicts-112-billion-cash-burn-2030?rc=eikhvd</t>
        </r>
      </text>
    </comment>
    <comment ref="F12" authorId="0" shapeId="0" xr:uid="{00000000-0006-0000-0100-000005000000}">
      <text>
        <r>
          <rPr>
            <sz val="12"/>
            <color theme="1"/>
            <rFont val="Aptos Narrow"/>
            <family val="2"/>
            <scheme val="minor"/>
          </rPr>
          <t>Jenny:
https://www.theinformation.com/articles/openai-boost-revenue-forecasts-predicts-112-billion-cash-burn-2030?rc=eikhvd</t>
        </r>
      </text>
    </comment>
    <comment ref="G12" authorId="0" shapeId="0" xr:uid="{00000000-0006-0000-0100-000006000000}">
      <text>
        <r>
          <rPr>
            <sz val="12"/>
            <color theme="1"/>
            <rFont val="Aptos Narrow"/>
            <family val="2"/>
            <scheme val="minor"/>
          </rPr>
          <t>Jenny:
https://www.theinformation.com/articles/openai-boost-revenue-forecasts-predicts-112-billion-cash-burn-2030?rc=eikhvd</t>
        </r>
      </text>
    </comment>
    <comment ref="H12" authorId="0" shapeId="0" xr:uid="{00000000-0006-0000-0100-000007000000}">
      <text>
        <r>
          <rPr>
            <sz val="12"/>
            <color theme="1"/>
            <rFont val="Aptos Narrow"/>
            <family val="2"/>
            <scheme val="minor"/>
          </rPr>
          <t>Jenny:
https://www.theinformation.com/articles/openai-boost-revenue-forecasts-predicts-112-billion-cash-burn-2030?rc=eikhvd</t>
        </r>
      </text>
    </comment>
    <comment ref="C21" authorId="0" shapeId="0" xr:uid="{4409D6D0-C9A8-7546-8F6C-205177D5E8A8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https://www.theinformation.com/articles/openai-boost-revenue-forecasts-predicts-112-billion-cash-burn-2030?rc=eikhvd</t>
        </r>
      </text>
    </comment>
    <comment ref="D21" authorId="0" shapeId="0" xr:uid="{8D47550A-23CD-8B48-B18E-D3DE809D1AED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https://www.theinformation.com/articles/openai-boost-revenue-forecasts-predicts-112-billion-cash-burn-2030?rc=eikhvd</t>
        </r>
      </text>
    </comment>
    <comment ref="E21" authorId="0" shapeId="0" xr:uid="{42FF842D-BEFD-034E-A9F0-1030FB52A96D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https://www.theinformation.com/articles/openai-boost-revenue-forecasts-predicts-112-billion-cash-burn-2030?rc=eikhvd</t>
        </r>
      </text>
    </comment>
    <comment ref="F21" authorId="0" shapeId="0" xr:uid="{2FE95621-D6C4-0E4F-B2C5-F656ACD647CB}">
      <text>
        <r>
          <rPr>
            <b/>
            <sz val="10"/>
            <color rgb="FF000000"/>
            <rFont val="Tahoma"/>
            <family val="2"/>
          </rPr>
          <t>The Information: $665B total 2026–30 compute − $440B training = $225B inference. Less 2026 ($14B) and 2027 ($26B) → $185B for 2028–30, split pro-rata to revenue (≈$36/59/90B).</t>
        </r>
      </text>
    </comment>
    <comment ref="C23" authorId="0" shapeId="0" xr:uid="{AB9F57A8-D05A-2041-A8F1-FA43D2E2C0A1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The Information, Feb 20 2026 — 2025 training $8.3B; cumulative ~$440B through 2030. (Realigned: previously sat in the 2026 column.)</t>
        </r>
      </text>
    </comment>
    <comment ref="D23" authorId="0" shapeId="0" xr:uid="{00000000-0006-0000-0100-000027000000}">
      <text>
        <r>
          <rPr>
            <sz val="12"/>
            <color rgb="FF000000"/>
            <rFont val="Aptos Narrow"/>
            <family val="2"/>
          </rPr>
          <t>Source: The Information, Feb 20 2026 — training $32B in 2026.</t>
        </r>
      </text>
    </comment>
    <comment ref="E23" authorId="0" shapeId="0" xr:uid="{00000000-0006-0000-0100-000028000000}">
      <text>
        <r>
          <rPr>
            <sz val="12"/>
            <color theme="1"/>
            <rFont val="Aptos Narrow"/>
            <family val="2"/>
            <scheme val="minor"/>
          </rPr>
          <t>Source: The Information, Feb 20 2026 — training $65B in 2027.</t>
        </r>
      </text>
    </comment>
    <comment ref="F23" authorId="0" shapeId="0" xr:uid="{3C8ADF62-88BB-CB4D-82FE-B9169E951F0F}">
      <text>
        <r>
          <rPr>
            <b/>
            <sz val="10"/>
            <color rgb="FF000000"/>
            <rFont val="Tahoma"/>
            <family val="2"/>
          </rPr>
          <t>2028 training = 25% (F24) of the $343B residual: $440B cumulative 2026–30 training (B58) − $32B (2026) − $65B (2027).</t>
        </r>
      </text>
    </comment>
    <comment ref="G23" authorId="0" shapeId="0" xr:uid="{DA6217B5-5DEE-BC46-817C-29BECE66F2DC}">
      <text>
        <r>
          <rPr>
            <b/>
            <sz val="10"/>
            <color rgb="FF000000"/>
            <rFont val="Tahoma"/>
            <family val="2"/>
          </rPr>
          <t>2029 training = 35% (G24) of the $343B residual (B58 − 2026 − 2027).</t>
        </r>
      </text>
    </comment>
    <comment ref="H23" authorId="0" shapeId="0" xr:uid="{6974982E-E766-5848-A00E-ADCD76DDFB2A}">
      <text>
        <r>
          <rPr>
            <b/>
            <sz val="10"/>
            <color rgb="FF000000"/>
            <rFont val="Tahoma"/>
            <family val="2"/>
          </rPr>
          <t>2030 training = 40% (H24) of the $343B residual (B58 − 2026 − 2027).</t>
        </r>
      </text>
    </comment>
    <comment ref="F24" authorId="0" shapeId="0" xr:uid="{B771BFE7-E660-0C40-B098-E8DBB619C31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Assumed share of the 2028–30 residual training spend ($343B = B58 − 2026 − 2027) landing in 2028. Weights F24:H24 must sum to 100%.</t>
        </r>
      </text>
    </comment>
    <comment ref="G24" authorId="0" shapeId="0" xr:uid="{6D2645EC-D3FB-594F-B80A-638DCEC56E07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Assumed share of the 2028–30 residual training spend landing in 2029.</t>
        </r>
      </text>
    </comment>
    <comment ref="H24" authorId="0" shapeId="0" xr:uid="{6F5DB22B-0249-EE40-B6D7-F34D5BD0C005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Assumed share of the 2028–30 residual training spend landing in 2030.</t>
        </r>
      </text>
    </comment>
    <comment ref="B25" authorId="0" shapeId="0" xr:uid="{00000000-0006-0000-0100-000008000000}">
      <text>
        <r>
          <rPr>
            <sz val="12"/>
            <color theme="1"/>
            <rFont val="Aptos Narrow"/>
            <family val="2"/>
            <scheme val="minor"/>
          </rPr>
          <t>Jenny:
FT-verified, Ed Zitron
https://www.wheresyoured.at/exclusive-openai-financials/</t>
        </r>
      </text>
    </comment>
    <comment ref="C25" authorId="0" shapeId="0" xr:uid="{00000000-0006-0000-0100-000009000000}">
      <text>
        <r>
          <rPr>
            <sz val="12"/>
            <color theme="1"/>
            <rFont val="Aptos Narrow"/>
            <family val="2"/>
            <scheme val="minor"/>
          </rPr>
          <t>Jenny:
FT-verified, Ed Zitron
https://www.wheresyoured.at/exclusive-openai-financials/</t>
        </r>
      </text>
    </comment>
    <comment ref="C27" authorId="0" shapeId="0" xr:uid="{00000000-0006-0000-0100-00000A000000}">
      <text>
        <r>
          <rPr>
            <sz val="12"/>
            <color theme="1"/>
            <rFont val="Aptos Narrow"/>
            <family val="2"/>
            <scheme val="minor"/>
          </rPr>
          <t xml:space="preserve">Jenny:
J.P. Morgan, Eye on the Market — 'Semiquincententacles', Jun 2026 (M. Cembalest) places openAI gross margin ~42%.
https://assets.jpmprivatebank.com/content/dam/jpm-pb-aem/global/en/documents/eotm/semiquincententacles.pdf
</t>
        </r>
      </text>
    </comment>
    <comment ref="B28" authorId="0" shapeId="0" xr:uid="{671B42B4-3277-8648-9981-BBA9BED7598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The Information, Feb 20 2026 — 2024 adjusted gross margin 40%. (Realigned: previously sat in the 2025 column.)</t>
        </r>
      </text>
    </comment>
    <comment ref="C28" authorId="0" shapeId="0" xr:uid="{00000000-0006-0000-0100-00000C000000}">
      <text>
        <r>
          <rPr>
            <sz val="12"/>
            <color theme="1"/>
            <rFont val="Aptos Narrow"/>
            <family val="2"/>
            <scheme val="minor"/>
          </rPr>
          <t>Source: The Information, Feb 20 2026 — 2025 adjusted gross margin 33% (below 46% target). (Realigned: previously sat in the 2026 column.)</t>
        </r>
      </text>
    </comment>
    <comment ref="D28" authorId="0" shapeId="0" xr:uid="{00000000-0006-0000-0100-00000D000000}">
      <text>
        <r>
          <rPr>
            <sz val="12"/>
            <color theme="1"/>
            <rFont val="Aptos Narrow"/>
            <family val="2"/>
            <scheme val="minor"/>
          </rPr>
          <t>= 1 − inference (row 20) ÷ revenue. The Information's 2026–30 forecast range: 52–67%; 2028–30 land at ~68%.</t>
        </r>
      </text>
    </comment>
    <comment ref="B30" authorId="0" shapeId="0" xr:uid="{00000000-0006-0000-0100-00000E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(FT-verified).</t>
        </r>
      </text>
    </comment>
    <comment ref="C30" authorId="0" shapeId="0" xr:uid="{00000000-0006-0000-0100-00000F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Source: Where's Your Ed At (FT-verified).</t>
        </r>
      </text>
    </comment>
    <comment ref="B31" authorId="0" shapeId="0" xr:uid="{00000000-0006-0000-0100-000010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(FT-verified).</t>
        </r>
      </text>
    </comment>
    <comment ref="C31" authorId="0" shapeId="0" xr:uid="{00000000-0006-0000-0100-000011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(FT-verified).</t>
        </r>
      </text>
    </comment>
    <comment ref="B32" authorId="0" shapeId="0" xr:uid="{00000000-0006-0000-0100-000012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(FT-verified).</t>
        </r>
      </text>
    </comment>
    <comment ref="C32" authorId="0" shapeId="0" xr:uid="{00000000-0006-0000-0100-000013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(FT-verified).</t>
        </r>
      </text>
    </comment>
    <comment ref="D34" authorId="0" shapeId="0" xr:uid="{2BA36B84-4495-2C45-BE11-7891F6A1251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Unsourced placeholder opex (operating expense) ratios — low signal. These drive the grayed opex, operating-loss and net-loss lines for 2026–30. Note: held at −80% of revenue through 2030, they keep the P&amp;L loss-making (−$28B operating loss in 2030) even as FCF turns +$40B per The Information — tune when better data lands.</t>
        </r>
      </text>
    </comment>
    <comment ref="D42" authorId="0" shapeId="0" xr:uid="{F75E24A2-5314-FE4B-AE15-DB15659C11B3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Now computed (gross profit + opex) for consistency with 2027–30. The Information's ~$(14)B 2026 loss projection moved to the memo line in row 46; the delta is driven by the unsourced opex placeholder ratios in rows 29–31.</t>
        </r>
      </text>
    </comment>
    <comment ref="C45" authorId="0" shapeId="0" xr:uid="{00000000-0006-0000-0100-000014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 — 2025 conversion from non-profit to for-profit; loss from changes in fair value of convertible interests and warrant liability.</t>
        </r>
      </text>
    </comment>
    <comment ref="B46" authorId="0" shapeId="0" xr:uid="{00000000-0006-0000-0100-000015000000}">
      <text>
        <r>
          <rPr>
            <sz val="12"/>
            <color theme="1"/>
            <rFont val="Aptos Narrow"/>
            <family val="2"/>
            <scheme val="minor"/>
          </rPr>
          <t>Jenny:
Derived plug to reconcile loss from operations to reported net loss of $(8.84)B (interest income/expense &amp; other minor factors).</t>
        </r>
      </text>
    </comment>
    <comment ref="C46" authorId="0" shapeId="0" xr:uid="{00000000-0006-0000-0100-000016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Derived plug to reconcile loss from operations and FV change to reported net loss of $(60.35)B (interest income/expense &amp; other).</t>
        </r>
      </text>
    </comment>
    <comment ref="D47" authorId="0" shapeId="0" xr:uid="{045ECAA1-A8EC-384D-A66B-64F90504A70D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The Information — 'OpenAI projections imply losses tripling to $14 billion in 2026'. https://www.theinformation.com/articles/openai-projections-imply-losses-tripling-to-14-billion-in-2026 (Moved from D42, which now computes.)</t>
        </r>
      </text>
    </comment>
    <comment ref="B49" authorId="0" shapeId="0" xr:uid="{00000000-0006-0000-0100-000018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 — net loss attributable to noncontrolling members' capital.</t>
        </r>
      </text>
    </comment>
    <comment ref="C49" authorId="0" shapeId="0" xr:uid="{00000000-0006-0000-0100-000019000000}">
      <text>
        <r>
          <rPr>
            <sz val="12"/>
            <color theme="1"/>
            <rFont val="Aptos Narrow"/>
            <family val="2"/>
            <scheme val="minor"/>
          </rPr>
          <t>Jenny:
Source: Where's Your Ed At (FT-verified) — $17.87B noncontrolling members' capital + $3.95B redeemable noncontrolling interests.</t>
        </r>
      </text>
    </comment>
    <comment ref="C52" authorId="0" shapeId="0" xr:uid="{00000000-0006-0000-0100-00001A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https://www.theinformation.com/articles/openai-boost-revenue-forecasts-predicts-112-billion-cash-burn-2030?rc=eikhvd</t>
        </r>
      </text>
    </comment>
    <comment ref="J52" authorId="0" shapeId="0" xr:uid="{00000000-0006-0000-0100-00001B000000}">
      <text>
        <r>
          <rPr>
            <sz val="12"/>
            <color theme="1"/>
            <rFont val="Aptos Narrow"/>
            <family val="2"/>
            <scheme val="minor"/>
          </rPr>
          <t>Jenny:
Source: J.P. Morgan, Eye on the Market — 'Semiquincententacles', Jun 2026. Lab guidance; JPM views as speculative and subject to revision.
https://assets.jpmprivatebank.com/content/dam/jpm-pb-aem/global/en/documents/eotm/semiquincententacles.pdf</t>
        </r>
      </text>
    </comment>
    <comment ref="D57" authorId="0" shapeId="0" xr:uid="{00000000-0006-0000-0100-000030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Source: The Information (Feb 20, 2026) — ~$665B cumulative 2026–30 compute spend; +$111B vs prior forecast. https://www.theinformation.com/articles/openai-boost-revenue-forecasts-predicts-112-billion-cash-burn-2030</t>
        </r>
      </text>
    </comment>
    <comment ref="D58" authorId="0" shapeId="0" xr:uid="{00000000-0006-0000-0100-000031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Source: The Information (Feb 20, 2026) — ~$440B of the $665B is training.</t>
        </r>
      </text>
    </comment>
    <comment ref="D59" authorId="0" shapeId="0" xr:uid="{00000000-0006-0000-0100-000032000000}">
      <text>
        <r>
          <rPr>
            <sz val="12"/>
            <color theme="1"/>
            <rFont val="Aptos Narrow"/>
            <family val="2"/>
            <scheme val="minor"/>
          </rPr>
          <t>Jenny:
Source: The Information (Feb 20, 2026) — ~$40B cash at end-2025.</t>
        </r>
      </text>
    </comment>
    <comment ref="D60" authorId="0" shapeId="0" xr:uid="{00000000-0006-0000-0100-000033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Source: The Information (Feb 20, 2026) — raising $100B+ at $730B pre-money valuation.</t>
        </r>
      </text>
    </comment>
    <comment ref="D65" authorId="0" shapeId="0" xr:uid="{78023AA1-DBAB-954A-8A86-9E35AD0A2D00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Lower-bound P&amp;L (profit and loss) loss if training compute were expensed ON TOP of the current opex placeholders — i.e., assumes the placeholder R&amp;D line contains no training. The gap vs the reported-basis loss (row 46) is the off-P&amp;L training wedge: The Information's loss basis cannot be fully-expensing training (2026 training of $32B alone exceeds the entire placeholder R&amp;D line), so the balance is absorbed via prepaid/capitalized compute, partner credits, or a narrower loss definition. Its cash cost surfaces in the capex/prepaid plug (row 51) between net loss and free cash flow.</t>
        </r>
      </text>
    </comment>
    <comment ref="C76" authorId="0" shapeId="0" xr:uid="{D3D3AC17-22F1-EB43-958E-3EA7291966A5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OpenAI — 800M+ weekly active users announced Oct 2025. https://techcrunch.com/2026/02/27/chatgpt-reaches-900m-weekly-active-users/ (Realigned: previously sat in the 2026 column.)</t>
        </r>
      </text>
    </comment>
    <comment ref="D76" authorId="0" shapeId="0" xr:uid="{00000000-0006-0000-0100-000029000000}">
      <text>
        <r>
          <rPr>
            <sz val="12"/>
            <color theme="1"/>
            <rFont val="Aptos Narrow"/>
            <family val="2"/>
            <scheme val="minor"/>
          </rPr>
          <t>Source: The Information, Feb 20 2026 — 910M weekly active users in Feb 2026 (short of 1B 2025 goal).</t>
        </r>
      </text>
    </comment>
    <comment ref="H76" authorId="0" shapeId="0" xr:uid="{420E28DF-E1D1-D04F-9DE1-B832A2E1B556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Source: The Information, Feb 20 2026 — expects 2.75B weekly active users by 2030.</t>
        </r>
      </text>
    </comment>
    <comment ref="C79" authorId="0" shapeId="0" xr:uid="{00000000-0006-0000-0100-00001C000000}">
      <text>
        <r>
          <rPr>
            <sz val="12"/>
            <color theme="1"/>
            <rFont val="Aptos Narrow"/>
            <family val="2"/>
            <scheme val="minor"/>
          </rPr>
          <t>Jenny:
Average paid consumer subscribers (millions).</t>
        </r>
      </text>
    </comment>
    <comment ref="C80" authorId="0" shapeId="0" xr:uid="{00000000-0006-0000-0100-00001D000000}">
      <text>
        <r>
          <rPr>
            <sz val="12"/>
            <color theme="1"/>
            <rFont val="Aptos Narrow"/>
            <family val="2"/>
            <scheme val="minor"/>
          </rPr>
          <t>Jenny:
Average revenue per consumer subscriber per month.</t>
        </r>
      </text>
    </comment>
    <comment ref="C85" authorId="0" shapeId="0" xr:uid="{00000000-0006-0000-0100-00001E000000}">
      <text>
        <r>
          <rPr>
            <sz val="12"/>
            <color theme="1"/>
            <rFont val="Aptos Narrow"/>
            <family val="2"/>
            <scheme val="minor"/>
          </rPr>
          <t>Jenny:
Average paid Team + Enterprise seats (millions).</t>
        </r>
      </text>
    </comment>
    <comment ref="C86" authorId="0" shapeId="0" xr:uid="{00000000-0006-0000-0100-00001F000000}">
      <text>
        <r>
          <rPr>
            <sz val="12"/>
            <color theme="1"/>
            <rFont val="Aptos Narrow"/>
            <family val="2"/>
            <scheme val="minor"/>
          </rPr>
          <t>Jenny:
Average annual contract value per seat.</t>
        </r>
      </text>
    </comment>
    <comment ref="C91" authorId="0" shapeId="0" xr:uid="{00000000-0006-0000-0100-000020000000}">
      <text>
        <r>
          <rPr>
            <sz val="12"/>
            <color theme="1"/>
            <rFont val="Aptos Narrow"/>
            <family val="2"/>
            <scheme val="minor"/>
          </rPr>
          <t>Jenny:
Annual API tokens (trillions).</t>
        </r>
      </text>
    </comment>
    <comment ref="C92" authorId="0" shapeId="0" xr:uid="{00000000-0006-0000-0100-000021000000}">
      <text>
        <r>
          <rPr>
            <sz val="12"/>
            <color theme="1"/>
            <rFont val="Aptos Narrow"/>
            <family val="2"/>
            <scheme val="minor"/>
          </rPr>
          <t>Jenny:
Blended realized price per million tokens.</t>
        </r>
      </text>
    </comment>
    <comment ref="C97" authorId="0" shapeId="0" xr:uid="{00000000-0006-0000-0100-000022000000}">
      <text>
        <r>
          <rPr>
            <sz val="12"/>
            <color theme="1"/>
            <rFont val="Aptos Narrow"/>
            <family val="2"/>
            <scheme val="minor"/>
          </rPr>
          <t>Jenny:
Exit run-rate ARR for Codex / agentic coding ($B).</t>
        </r>
      </text>
    </comment>
    <comment ref="C98" authorId="0" shapeId="0" xr:uid="{00000000-0006-0000-0100-000023000000}">
      <text>
        <r>
          <rPr>
            <sz val="12"/>
            <color theme="1"/>
            <rFont val="Aptos Narrow"/>
            <family val="2"/>
            <scheme val="minor"/>
          </rPr>
          <t>Jenny:
Revenue recognized vs exit run-rate (ramping through the year).</t>
        </r>
      </text>
    </comment>
    <comment ref="D103" authorId="0" shapeId="0" xr:uid="{2073A047-E90E-5D4A-B17E-19D5F6D57CDF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2025 avg paid consumer subs (C60) </t>
        </r>
        <r>
          <rPr>
            <sz val="10"/>
            <color rgb="FF000000"/>
            <rFont val="Tahoma"/>
            <family val="2"/>
          </rPr>
          <t>÷</t>
        </r>
        <r>
          <rPr>
            <sz val="10"/>
            <color rgb="FF000000"/>
            <rFont val="Tahoma"/>
            <family val="2"/>
          </rPr>
          <t xml:space="preserve"> 2025 weekly active users (C92). Reference updated after realigning the WAU (weekly active users) row.</t>
        </r>
      </text>
    </comment>
    <comment ref="B108" authorId="0" shapeId="0" xr:uid="{00000000-0006-0000-0100-00002C000000}">
      <text>
        <r>
          <rPr>
            <sz val="12"/>
            <color theme="1"/>
            <rFont val="Aptos Narrow"/>
            <family val="2"/>
            <scheme val="minor"/>
          </rPr>
          <t>Jenny:
Source: OpenAI — 'A business that scales with the value of intelligence' (CFO Sarah Friar, Jan 18 2026): reported run-rate ARR of $2B in 2023, $6B in 2024, and $20B+ in 2025. https://openai.com/index/a-business-that-scales-with-the-value-of-intelligence/</t>
        </r>
      </text>
    </comment>
    <comment ref="C108" authorId="0" shapeId="0" xr:uid="{00000000-0006-0000-0100-00002D000000}">
      <text>
        <r>
          <rPr>
            <sz val="12"/>
            <color theme="1"/>
            <rFont val="Aptos Narrow"/>
            <family val="2"/>
            <scheme val="minor"/>
          </rPr>
          <t>Jenny:
Source: OpenAI — 'A business that scales with the value of intelligence' (CFO Sarah Friar, Jan 18 2026): reported run-rate ARR of $2B in 2023, $6B in 2024, and $20B+ in 2025. https://openai.com/index/a-business-that-scales-with-the-value-of-intelligence/</t>
        </r>
      </text>
    </comment>
    <comment ref="D108" authorId="0" shapeId="0" xr:uid="{00000000-0006-0000-0100-00002E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OpenAI has not published an official year-end 2026 run-rate. The ~$25B figure circulating for Feb 2026 is a third-party estimate (Sacra), not company-reported, so it is excluded here.</t>
        </r>
      </text>
    </comment>
    <comment ref="B109" authorId="0" shapeId="0" xr:uid="{00000000-0006-0000-0100-00002F000000}">
      <text>
        <r>
          <rPr>
            <sz val="12"/>
            <color theme="1"/>
            <rFont val="Aptos Narrow"/>
            <family val="2"/>
            <scheme val="minor"/>
          </rPr>
          <t>Jenny:
2023 exit run-rate ARR = $2B. Source: OpenAI — 'A business that scales with the value of intelligence' (CFO Sarah Friar, Jan 18 2026). https://openai.com/index/a-business-that-scales-with-the-value-of-intelligence/</t>
        </r>
      </text>
    </comment>
    <comment ref="B117" authorId="0" shapeId="0" xr:uid="{00000000-0006-0000-0100-000034000000}">
      <text>
        <r>
          <rPr>
            <sz val="12"/>
            <color theme="1"/>
            <rFont val="Aptos Narrow"/>
            <family val="2"/>
            <scheme val="minor"/>
          </rPr>
          <t>Jenny:
OpenAI's committed compute is a cumulative 2026–30 figure (~$665B), not an annual run-rate like Anthropic's. Source: The Information / coverage block (row 82).</t>
        </r>
      </text>
    </comment>
    <comment ref="C117" authorId="0" shapeId="0" xr:uid="{00000000-0006-0000-0100-000035000000}">
      <text>
        <r>
          <rPr>
            <sz val="12"/>
            <color theme="1"/>
            <rFont val="Aptos Narrow"/>
            <family val="2"/>
            <scheme val="minor"/>
          </rPr>
          <t>Jenny:
OpenAI's committed compute is a cumulative 2026–30 figure (~$665B), not an annual run-rate like Anthropic's. Source: The Information / coverage block (row 82).</t>
        </r>
      </text>
    </comment>
    <comment ref="D117" authorId="0" shapeId="0" xr:uid="{00000000-0006-0000-0100-000036000000}">
      <text>
        <r>
          <rPr>
            <sz val="12"/>
            <color theme="1"/>
            <rFont val="Aptos Narrow"/>
            <family val="2"/>
            <scheme val="minor"/>
          </rPr>
          <t>Jenny:
OpenAI's committed compute is a cumulative 2026–30 figure (~$665B), not an annual run-rate like Anthropic's. Source: The Information / coverage block (row 82).</t>
        </r>
      </text>
    </comment>
    <comment ref="E117" authorId="0" shapeId="0" xr:uid="{00000000-0006-0000-0100-000037000000}">
      <text>
        <r>
          <rPr>
            <sz val="12"/>
            <color theme="1"/>
            <rFont val="Aptos Narrow"/>
            <family val="2"/>
            <scheme val="minor"/>
          </rPr>
          <t>Jenny:
OpenAI's committed compute is a cumulative 2026–30 figure (~$665B), not an annual run-rate like Anthropic's. Source: The Information / coverage block (row 82).</t>
        </r>
      </text>
    </comment>
    <comment ref="F117" authorId="0" shapeId="0" xr:uid="{00000000-0006-0000-0100-000038000000}">
      <text>
        <r>
          <rPr>
            <sz val="12"/>
            <color theme="1"/>
            <rFont val="Aptos Narrow"/>
            <family val="2"/>
            <scheme val="minor"/>
          </rPr>
          <t>Jenny:
OpenAI's committed compute is a cumulative 2026–30 figure (~$665B), not an annual run-rate like Anthropic's. Source: The Information / coverage block (row 82).</t>
        </r>
      </text>
    </comment>
    <comment ref="G117" authorId="0" shapeId="0" xr:uid="{00000000-0006-0000-0100-000039000000}">
      <text>
        <r>
          <rPr>
            <sz val="12"/>
            <color theme="1"/>
            <rFont val="Aptos Narrow"/>
            <family val="2"/>
            <scheme val="minor"/>
          </rPr>
          <t>Jenny:
OpenAI's committed compute is a cumulative 2026–30 figure (~$665B), not an annual run-rate like Anthropic's. Source: The Information / coverage block (row 82).</t>
        </r>
      </text>
    </comment>
    <comment ref="B120" authorId="0" shapeId="0" xr:uid="{00000000-0006-0000-0100-00003A000000}">
      <text>
        <r>
          <rPr>
            <sz val="12"/>
            <color theme="1"/>
            <rFont val="Aptos Narrow"/>
            <family val="2"/>
            <scheme val="minor"/>
          </rPr>
          <t>Jenny:
Cumulative financing gap = committed compute (~$665B) − funding available (~$140B) ≈ $525B. Source: coverage block (row 88).</t>
        </r>
      </text>
    </comment>
    <comment ref="C120" authorId="0" shapeId="0" xr:uid="{00000000-0006-0000-0100-00003B000000}">
      <text>
        <r>
          <rPr>
            <sz val="12"/>
            <color theme="1"/>
            <rFont val="Aptos Narrow"/>
            <family val="2"/>
            <scheme val="minor"/>
          </rPr>
          <t>Jenny:
Cumulative financing gap = committed compute (~$665B) − funding available (~$140B) ≈ $525B. Source: coverage block (row 88).</t>
        </r>
      </text>
    </comment>
    <comment ref="D120" authorId="0" shapeId="0" xr:uid="{00000000-0006-0000-0100-00003C000000}">
      <text>
        <r>
          <rPr>
            <sz val="12"/>
            <color theme="1"/>
            <rFont val="Aptos Narrow"/>
            <family val="2"/>
            <scheme val="minor"/>
          </rPr>
          <t>Jenny:
Cumulative financing gap = committed compute (~$665B) − funding available (~$140B) ≈ $525B. Source: coverage block (row 88).</t>
        </r>
      </text>
    </comment>
    <comment ref="E120" authorId="0" shapeId="0" xr:uid="{00000000-0006-0000-0100-00003D000000}">
      <text>
        <r>
          <rPr>
            <sz val="12"/>
            <color theme="1"/>
            <rFont val="Aptos Narrow"/>
            <family val="2"/>
            <scheme val="minor"/>
          </rPr>
          <t>Jenny:
Cumulative financing gap = committed compute (~$665B) − funding available (~$140B) ≈ $525B. Source: coverage block (row 88).</t>
        </r>
      </text>
    </comment>
    <comment ref="F120" authorId="0" shapeId="0" xr:uid="{00000000-0006-0000-0100-00003E000000}">
      <text>
        <r>
          <rPr>
            <sz val="12"/>
            <color theme="1"/>
            <rFont val="Aptos Narrow"/>
            <family val="2"/>
            <scheme val="minor"/>
          </rPr>
          <t>Jenny:
Cumulative financing gap = committed compute (~$665B) − funding available (~$140B) ≈ $525B. Source: coverage block (row 88).</t>
        </r>
      </text>
    </comment>
    <comment ref="G120" authorId="0" shapeId="0" xr:uid="{00000000-0006-0000-0100-00003F000000}">
      <text>
        <r>
          <rPr>
            <sz val="12"/>
            <color theme="1"/>
            <rFont val="Aptos Narrow"/>
            <family val="2"/>
            <scheme val="minor"/>
          </rPr>
          <t>Jenny:
Cumulative financing gap = committed compute (~$665B) − funding available (~$140B) ≈ $525B. Source: coverage block (row 88).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</author>
  </authors>
  <commentList>
    <comment ref="A1" authorId="0" shapeId="0" xr:uid="{00000000-0006-0000-0200-000001000000}">
      <text>
        <r>
          <rPr>
            <sz val="12"/>
            <color theme="1"/>
            <rFont val="Aptos Narrow"/>
            <family val="2"/>
            <scheme val="minor"/>
          </rPr>
          <t>Jenny:
Source: Z.ai (Zhipu) HKEX listing application, p.23/504. https://www.hkexnews.hk/listedco/listconews/sehk/2025/1230/2025123000017.pdf</t>
        </r>
      </text>
    </comment>
    <comment ref="M1" authorId="0" shapeId="0" xr:uid="{00000000-0006-0000-0200-000002000000}">
      <text>
        <r>
          <rPr>
            <sz val="12"/>
            <color theme="1"/>
            <rFont val="Aptos Narrow"/>
            <family val="2"/>
            <scheme val="minor"/>
          </rPr>
          <t>Jenny:
Mid-market USD/CNY spot ~6.7782 as of 23 Jun 2026 (Investing.com / Wise). 1 USD = 6.7782 RMB. Edit this cell to reprice the whole USD table.</t>
        </r>
      </text>
    </comment>
    <comment ref="B45" authorId="0" shapeId="0" xr:uid="{00000000-0006-0000-0200-000009000000}">
      <text>
        <r>
          <rPr>
            <sz val="12"/>
            <color theme="1"/>
            <rFont val="Aptos Narrow"/>
            <family val="2"/>
            <scheme val="minor"/>
          </rPr>
          <t>Jenny:
FY2024 revenue, USD ('000) = K7. Converted to $B.</t>
        </r>
      </text>
    </comment>
    <comment ref="B46" authorId="0" shapeId="0" xr:uid="{00000000-0006-0000-0200-00000A000000}">
      <text>
        <r>
          <rPr>
            <sz val="12"/>
            <color theme="1"/>
            <rFont val="Aptos Narrow"/>
            <family val="2"/>
            <scheme val="minor"/>
          </rPr>
          <t>Source: Knowledge Atlas Technology (Zhipu / Z.ai) HK IPO prospectus, Appendix I Accountants' Report — consolidated statements of cash flows: 'Payments for the purchases of property and equipment', FY2024 = RMB125,958K, converted to $M at the M1 rate. Lumpy series: FY2023 was RMB506.8M (heavy owned-compute year); 1H2025 only RMB12.7M. https://www1.hkexnews.hk/listedco/listconews/sehk/2025/1230/2025123000017.pdf</t>
        </r>
      </text>
    </comment>
    <comment ref="B47" authorId="0" shapeId="0" xr:uid="{00000000-0006-0000-0200-00000B000000}">
      <text>
        <r>
          <rPr>
            <sz val="12"/>
            <color theme="1"/>
            <rFont val="Aptos Narrow"/>
            <family val="2"/>
            <scheme val="minor"/>
          </rPr>
          <t>Jenny:
Input: D&amp;A from the prospectus' PP&amp;E / intangibles note ($M). Reference: FY24 R&amp;D-related D&amp;A ≈ RMB259M (D34).</t>
        </r>
      </text>
    </comment>
    <comment ref="A48" authorId="0" shapeId="0" xr:uid="{2D6B0079-0F9A-0246-BD13-960410A02BD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Band for frontier owned-capex intensity. The only audited capex/D&amp;A (depreciation &amp; amortization) for any model lab — brackets the capex frontier labs won't disclose.</t>
        </r>
      </text>
    </comment>
    <comment ref="A52" authorId="0" shapeId="0" xr:uid="{1C11F7C4-3570-4647-90BC-A97EA700DD8D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Z.ai uses reported loss from operations (MiniMax tab derives it from gross profit + other income − S&amp;M − G&amp;A − R&amp;D − impairment).</t>
        </r>
      </text>
    </comment>
    <comment ref="A53" authorId="0" shapeId="0" xr:uid="{7A3E94E2-61BE-8143-9C75-2991686E2996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CFS (cash flow statement) depreciation + amortization add-back lines.</t>
        </r>
      </text>
    </comment>
    <comment ref="A77" authorId="0" shapeId="0" xr:uid="{E1495590-6876-FC49-A93D-820D28FD5A6F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CFS movement line exists; detailed balance-sheet restricted-cash line is not in the current-asset summary table, so kept only as a CFO (cash flow from operations) working-capital note.</t>
        </r>
      </text>
    </comment>
    <comment ref="A78" authorId="0" shapeId="0" xr:uid="{96CCD3A8-990D-8441-90F8-720C429E1B4C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Alternative CFO-adjacent net-working-capital view.</t>
        </r>
      </text>
    </comment>
    <comment ref="A79" authorId="0" shapeId="0" xr:uid="{B74DA29C-72F7-E545-8728-9CC337EFB08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Reported total current assets less current liabilities.</t>
        </r>
      </text>
    </comment>
    <comment ref="A82" authorId="0" shapeId="0" xr:uid="{514E0A83-BD25-104C-9770-DFD6026B52EC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Annual periods use full-year revenue; interim period uses reported period revenue.</t>
        </r>
      </text>
    </comment>
    <comment ref="A83" authorId="0" shapeId="0" xr:uid="{C380E23C-2157-8441-B63C-94EB23D9D61A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Annualized (×2) for interim comparability; annual periods equal reported revenue.</t>
        </r>
      </text>
    </comment>
    <comment ref="A84" authorId="0" shapeId="0" xr:uid="{78729FE6-B694-4F46-8367-F6428E8D2CB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Primary metric for the operating cash-flow walk.</t>
        </r>
      </text>
    </comment>
    <comment ref="A85" authorId="0" shapeId="0" xr:uid="{6F4927D3-C547-F240-9CDD-A83C663B7643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Useful for interim period comparability.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</author>
  </authors>
  <commentList>
    <comment ref="A1" authorId="0" shapeId="0" xr:uid="{00000000-0006-0000-0300-000001000000}">
      <text>
        <r>
          <rPr>
            <sz val="12"/>
            <color theme="1"/>
            <rFont val="Aptos Narrow"/>
            <family val="2"/>
            <scheme val="minor"/>
          </rPr>
          <t>Jenny:
Source: MiniMax (稀宇科技) HKEX listing application, filed 31 Dec 2025. Consolidated Statements of Profit or Loss — Financial Information p.412 and Accountant's Report Appendix I, p.I-5. https://www1.hkexnews.hk/listedco/listconews/sehk/2025/1231/2025123100025.pdf</t>
        </r>
      </text>
    </comment>
    <comment ref="G5" authorId="0" shapeId="0" xr:uid="{00000000-0006-0000-0300-000002000000}">
      <text>
        <r>
          <rPr>
            <sz val="12"/>
            <color rgb="FF000000"/>
            <rFont val="Aptos Narrow"/>
            <family val="2"/>
          </rPr>
          <t xml:space="preserve">Jenny:
</t>
        </r>
        <r>
          <rPr>
            <sz val="12"/>
            <color rgb="FF000000"/>
            <rFont val="Aptos Narrow"/>
            <family val="2"/>
          </rPr>
          <t>Nine months ended 30 Sep 2024 — unaudited (per filing).</t>
        </r>
      </text>
    </comment>
    <comment ref="D8" authorId="0" shapeId="0" xr:uid="{00000000-0006-0000-0300-000003000000}">
      <text>
        <r>
          <rPr>
            <sz val="12"/>
            <color theme="1"/>
            <rFont val="Aptos Narrow"/>
            <family val="2"/>
            <scheme val="minor"/>
          </rPr>
          <t>Jenny:
Source: MiniMax HKEX listing application (filed 31 Dec 2025), Consolidated Statements of Profit or Loss, p.I-5. Revenue (US$'000). https://www1.hkexnews.hk/listedco/listconews/sehk/2025/1231/2025123100025.pdf</t>
        </r>
      </text>
    </comment>
    <comment ref="D23" authorId="0" shapeId="0" xr:uid="{00000000-0006-0000-0300-000004000000}">
      <text>
        <r>
          <rPr>
            <sz val="12"/>
            <color theme="1"/>
            <rFont val="Aptos Narrow"/>
            <family val="2"/>
            <scheme val="minor"/>
          </rPr>
          <t>Jenny:
Loss for the year. Source: MiniMax HKEX listing application (filed 31 Dec 2025), p.I-5.</t>
        </r>
      </text>
    </comment>
    <comment ref="A36" authorId="0" shapeId="0" xr:uid="{B14023AB-7CFF-AA49-9111-6AF4D63971D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US$ '000. Training/research compute sits in R&amp;D (research &amp; development); user-serving (inference) compute sits in Cost of Sales.</t>
        </r>
      </text>
    </comment>
    <comment ref="A50" authorId="0" shapeId="0" xr:uid="{02D1ABAA-AC8F-3E45-B015-44DDCA6BBBCE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Observed FY2024 R&amp;D mix from two disclosed China AI labs. Use as operating-shape proof; scale absolute $ up and apply US-lab SBC (stock-based compensation) separately. Compute split rule: training / model-development compute → R&amp;D; inference / user-serving compute → COGS (cost of goods sold). MiniMax discloses ~US$38M inference compute inside Cost of Sales, 9M2025 (G49).</t>
        </r>
      </text>
    </comment>
    <comment ref="A53" authorId="0" shapeId="0" xr:uid="{A1697E2C-F20F-5B44-9076-76FC365EE9C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Dominant line — scale $ up sharply for frontier labs</t>
        </r>
      </text>
    </comment>
    <comment ref="A54" authorId="0" shapeId="0" xr:uid="{4D447CB8-FEF8-5547-AB9F-5129BC53F850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Headcount × cash compensation</t>
        </r>
      </text>
    </comment>
    <comment ref="A55" authorId="0" shapeId="0" xr:uid="{9F3EDAF8-5DFF-374C-A416-88054DC58F96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US frontier labs far higher — apply RSU (restricted stock unit) assumptions separately (see Anthropic SBC build)</t>
        </r>
      </text>
    </comment>
    <comment ref="A56" authorId="0" shapeId="0" xr:uid="{281102E6-4453-5B4E-894D-AA234E26A22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Higher when owning hardware vs renting cloud</t>
        </r>
      </text>
    </comment>
    <comment ref="A57" authorId="0" shapeId="0" xr:uid="{3445CD6E-D47E-774D-AFD2-D26CDBD1817C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Residual overhead</t>
        </r>
      </text>
    </comment>
    <comment ref="B63" authorId="0" shapeId="0" xr:uid="{00000000-0006-0000-0300-000005000000}">
      <text>
        <r>
          <rPr>
            <sz val="12"/>
            <color theme="1"/>
            <rFont val="Aptos Narrow"/>
            <family val="2"/>
            <scheme val="minor"/>
          </rPr>
          <t>Jenny:
FY2024 revenue, USD ('000) = D7. Converted to $B.</t>
        </r>
      </text>
    </comment>
    <comment ref="B64" authorId="0" shapeId="0" xr:uid="{00000000-0006-0000-0300-000006000000}">
      <text>
        <r>
          <rPr>
            <sz val="12"/>
            <color theme="1"/>
            <rFont val="Aptos Narrow"/>
            <family val="2"/>
            <scheme val="minor"/>
          </rPr>
          <t>Source: MiniMax Group Inc. HK IPO prospectus (Dec 31, 2025), Accountants' Report — consolidated statements of cash flows: 'Purchases of items of property, plant and equipment', FY2024 = US$759K (9M2025: US$479K). Prospectus reports in USD; no FX conversion needed. https://www1.hkexnews.hk/listedco/listconews/sehk/2025/1231/2025123100025.pdf</t>
        </r>
      </text>
    </comment>
    <comment ref="B65" authorId="0" shapeId="0" xr:uid="{00000000-0006-0000-0300-000007000000}">
      <text>
        <r>
          <rPr>
            <sz val="12"/>
            <color theme="1"/>
            <rFont val="Aptos Narrow"/>
            <family val="2"/>
            <scheme val="minor"/>
          </rPr>
          <t>Jenny:
Input: D&amp;A from the prospectus' PP&amp;E / intangibles note ($M).</t>
        </r>
      </text>
    </comment>
    <comment ref="A66" authorId="0" shapeId="0" xr:uid="{9C060B03-42B7-9645-B325-EAFFAD6CF5C3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Band for frontier owned-capex intensity. The only audited capex/D&amp;A (depreciation &amp; amortization) for any model lab — brackets the capex frontier labs won't disclose.</t>
        </r>
      </text>
    </comment>
    <comment ref="B67" authorId="0" shapeId="0" xr:uid="{0E7E7EC2-D020-7743-B259-A208EE422BAC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Braeden/BN method applied directly to MiniMax-M2.7 (open weights — no frontier multiplier needed): GB300 server $/hr ÷ SGLang benchmark throughput → $0.78/M blended token cost vs $0.75/M blended list price at the bench's 1:1 mix. See Margin Model section 3b for inputs and GPU-rate sensitivity (+36% at reserved rates). Cross-check: reported gross margin 12.2% (FY2024) → 23.3% (9M2025) — consistent with near-breakeven marginal serving on rented compute.</t>
        </r>
      </text>
    </comment>
    <comment ref="A72" authorId="0" shapeId="0" xr:uid="{7ECCE047-0596-8644-BEC9-5FEFE6A183D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P&amp;L source line</t>
        </r>
      </text>
    </comment>
    <comment ref="A73" authorId="0" shapeId="0" xr:uid="{85E1E578-DF99-424B-A939-ADCB3B87CB94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MiniMax derives from gross profit + other income − S&amp;M − G&amp;A − R&amp;D − impairment; Z.ai uses reported loss from operations.</t>
        </r>
      </text>
    </comment>
    <comment ref="A74" authorId="0" shapeId="0" xr:uid="{1633DB24-9F6E-E748-B446-51F5E609C358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CFS (cash flow statement) depreciation + amortization add-back lines</t>
        </r>
      </text>
    </comment>
    <comment ref="A76" authorId="0" shapeId="0" xr:uid="{3F8E1F0F-FCB8-AD48-8D76-7B99FBF897D2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Reported CFO (cash flow from operations)</t>
        </r>
      </text>
    </comment>
    <comment ref="A93" authorId="0" shapeId="0" xr:uid="{DE1E06A7-3A30-3842-BFA7-5C599BC8B27B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Annual periods use FY revenue; interim period uses reported period revenue.</t>
        </r>
      </text>
    </comment>
    <comment ref="A94" authorId="0" shapeId="0" xr:uid="{ED93AB8A-7ED8-3E46-9837-ECDDB8B98D4F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For interim comparison only; annual periods equal reported revenue.</t>
        </r>
      </text>
    </comment>
    <comment ref="A95" authorId="0" shapeId="0" xr:uid="{4B65D512-55DC-8844-90F6-620E5A71C733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Primary metric for operating cash-flow walk</t>
        </r>
      </text>
    </comment>
    <comment ref="A96" authorId="0" shapeId="0" xr:uid="{775BA579-D137-FF49-9934-58191B9BE68F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Useful for interim period comparability</t>
        </r>
      </text>
    </comment>
    <comment ref="A100" authorId="0" shapeId="0" xr:uid="{0F91CDAD-2C86-B040-B350-8251505E01EC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Rows below are reported within the CFO bridge; total row is a formula.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</author>
  </authors>
  <commentList>
    <comment ref="B4" authorId="0" shapeId="0" xr:uid="{00000000-0006-0000-0400-000001000000}">
      <text>
        <r>
          <rPr>
            <sz val="12"/>
            <color theme="1"/>
            <rFont val="Aptos Narrow"/>
            <family val="2"/>
            <scheme val="minor"/>
          </rPr>
          <t xml:space="preserve">Jenny:
Per BN (https://substack.com/home/post/p-202512559#footnote-4):
The $3.00/GPU-hour base case is a rounded contracted-capacity assumption, above the linked SemiAnalysis/InferenceX B200 retail TCO constant of $2.90/GPU-hour (with $1.95 hyperscaler and $2.34 neocloud constants). Source: https://github.com/SemiAnalysisAI/InferenceX-app/blob/d0ccc65819e4c396c4ca5243f1ec2c7864da318d/packages/constants/src/gpu-keys.ts#L31
</t>
        </r>
      </text>
    </comment>
    <comment ref="B12" authorId="0" shapeId="0" xr:uid="{00000000-0006-0000-0400-000002000000}">
      <text>
        <r>
          <rPr>
            <sz val="12"/>
            <color theme="1"/>
            <rFont val="Aptos Narrow"/>
            <family val="2"/>
            <scheme val="minor"/>
          </rPr>
          <t>Jenny:
https://docs.z.ai/guides/overview/pricing</t>
        </r>
      </text>
    </comment>
    <comment ref="C12" authorId="0" shapeId="0" xr:uid="{00000000-0006-0000-0400-000003000000}">
      <text>
        <r>
          <rPr>
            <sz val="12"/>
            <color theme="1"/>
            <rFont val="Aptos Narrow"/>
            <family val="2"/>
            <scheme val="minor"/>
          </rPr>
          <t>Jenny:
https://docs.z.ai/guides/overview/pricing</t>
        </r>
      </text>
    </comment>
    <comment ref="B13" authorId="0" shapeId="0" xr:uid="{00000000-0006-0000-0400-000004000000}">
      <text>
        <r>
          <rPr>
            <sz val="12"/>
            <color theme="1"/>
            <rFont val="Aptos Narrow"/>
            <family val="2"/>
            <scheme val="minor"/>
          </rPr>
          <t>Jenny:
https://openai.com/business/pricing/#api</t>
        </r>
      </text>
    </comment>
    <comment ref="C13" authorId="0" shapeId="0" xr:uid="{00000000-0006-0000-0400-000005000000}">
      <text>
        <r>
          <rPr>
            <sz val="12"/>
            <color theme="1"/>
            <rFont val="Aptos Narrow"/>
            <family val="2"/>
            <scheme val="minor"/>
          </rPr>
          <t>Jenny:
https://openai.com/business/pricing/#api</t>
        </r>
      </text>
    </comment>
    <comment ref="B14" authorId="0" shapeId="0" xr:uid="{00000000-0006-0000-0400-000006000000}">
      <text>
        <r>
          <rPr>
            <sz val="12"/>
            <color theme="1"/>
            <rFont val="Aptos Narrow"/>
            <family val="2"/>
            <scheme val="minor"/>
          </rPr>
          <t>Jenny:
https://platform.claude.com/docs/en/about-claude/pricing</t>
        </r>
      </text>
    </comment>
    <comment ref="C14" authorId="0" shapeId="0" xr:uid="{00000000-0006-0000-0400-000007000000}">
      <text>
        <r>
          <rPr>
            <sz val="12"/>
            <color theme="1"/>
            <rFont val="Aptos Narrow"/>
            <family val="2"/>
            <scheme val="minor"/>
          </rPr>
          <t>Jenny:
https://platform.claude.com/docs/en/about-claude/pricing</t>
        </r>
      </text>
    </comment>
    <comment ref="H29" authorId="0" shapeId="0" xr:uid="{00000000-0006-0000-0400-000008000000}">
      <text>
        <r>
          <rPr>
            <sz val="12"/>
            <color theme="1"/>
            <rFont val="Aptos Narrow"/>
            <family val="2"/>
            <scheme val="minor"/>
          </rPr>
          <t>Jenny:
Revenue-weighted blended marginal serving GM = 1 - (cost_in*input_tokens + cost_out*output_tokens) / (price_in*input_tokens + price_out*output_tokens), using B8 input / B7 output tokens per request. MARGINAL SERVING ONLY — excludes training, R&amp;D, free-tier subsidy.</t>
        </r>
      </text>
    </comment>
    <comment ref="B32" authorId="0" shapeId="0" xr:uid="{F967AC58-80CB-2D4A-A0CB-A310C978FD9C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live GB300/B300 rental market, Jun-2026 — Nebius official price list: HGX B300 $7.85/GPU-hr on-demand, $4.30 reserved (https://nebius.com/prices); Verda via gpus.io $8.62; Runcrate from $4.00; dedicated B300 ~$6.80 (tech-insider.org Blackwell pricing roundup). $7.00 base = rounded on-demand consensus. Flex this — the M2.7 serving GM is extremely sensitive to it (see B38 note).</t>
        </r>
      </text>
    </comment>
    <comment ref="B33" authorId="0" shapeId="0" xr:uid="{FE7B613B-C3F5-534C-AE71-11F11EA22979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SGLang official cookbook, MiniMax-M2.7 speed benchmark test environment — 2</t>
        </r>
        <r>
          <rPr>
            <sz val="10"/>
            <color rgb="FF000000"/>
            <rFont val="Tahoma"/>
            <family val="2"/>
          </rPr>
          <t>×</t>
        </r>
        <r>
          <rPr>
            <sz val="10"/>
            <color rgb="FF000000"/>
            <rFont val="Tahoma"/>
            <family val="2"/>
          </rPr>
          <t xml:space="preserve"> NVIDIA GB300 (275GB per die), FP8, TP=2, SGLang v0.5.10.post1. https://docs.sglang.io/cookbook/autoregressive/MiniMax/MiniMax-M2.7</t>
        </r>
      </text>
    </comment>
    <comment ref="B35" authorId="0" shapeId="0" xr:uid="{AFC8BE05-6474-BF4D-9892-C0BD4F067196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SGLang official cookbook, MiniMax-M2.7 high-concurrency serving benchmark (random 1000-in/1000-out workload, max concurrency 100, effective 90.19): input 2,493.41 tok/s, output 2,521.66 tok/s per 2</t>
        </r>
        <r>
          <rPr>
            <sz val="10"/>
            <color rgb="FF000000"/>
            <rFont val="Tahoma"/>
            <family val="2"/>
          </rPr>
          <t>×</t>
        </r>
        <r>
          <rPr>
            <sz val="10"/>
            <color rgb="FF000000"/>
            <rFont val="Tahoma"/>
            <family val="2"/>
          </rPr>
          <t>GB300 server. https://docs.sglang.io/cookbook/autoregressive/MiniMax/MiniMax-M2.7</t>
        </r>
      </text>
    </comment>
    <comment ref="C35" authorId="0" shapeId="0" xr:uid="{31684570-446E-664D-AF7C-0EB7CC7D1BF1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Output tok/s — same source as B35.</t>
        </r>
      </text>
    </comment>
    <comment ref="B36" authorId="0" shapeId="0" xr:uid="{A3D9E6D9-F928-F84D-A290-21B4583D3C8D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Server $/hr ÷ total token throughput per hour. The SGLang bench reports combined input+output throughput on a 1:1 workload, so this is a per-blended-token cost — no prefill/decode split (unlike the GLM grid above).</t>
        </r>
      </text>
    </comment>
    <comment ref="B37" authorId="0" shapeId="0" xr:uid="{3D8C5045-CBC5-C442-86CF-994EDE202DC6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MiniMax official API list price for MiniMax-M2.7 (standard): $0.30/M input, $1.20/M output; highspeed variant $0.60/$2.40. Corroborated across Artificial Analysis provider benchmarking and OpenRouter. https://artificialanalysis.ai/models/minimax-m2-7/providers</t>
        </r>
      </text>
    </comment>
    <comment ref="C37" authorId="0" shapeId="0" xr:uid="{4631D49A-76C7-314A-948C-D4B96133AE15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Output $/M — same source as B37.</t>
        </r>
      </text>
    </comment>
    <comment ref="B38" authorId="0" shapeId="0" xr:uid="{1FE051AD-0294-E947-9268-50A3356B2110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Revenue per blended M tokens at the bench's 1:1 mix = (price_in + price_out)/2 = $0.75/M. NOT comparable to the section-3 blended GMs, which use the B8:B7 (8192:1024) request mix. Sensitivity to B32: at Nebius reserved $4.30/GPU-hr → ~+36%; at $7.85 on-demand → ~-16%. Cross-check: MiniMax reported gross margin 12.2% (FY2024) → 23.3% (9M2025) — consistent with near-breakeven marginal serving on rented compute plus subscription/cache revenue. MARGINAL SERVING ONLY — excludes training, R&amp;D, free tier.</t>
        </r>
      </text>
    </comment>
    <comment ref="B71" authorId="0" shapeId="0" xr:uid="{BF545048-B6C8-CE44-9613-ED9BF3B85633}">
      <text>
        <r>
          <rPr>
            <b/>
            <sz val="10"/>
            <color rgb="FF000000"/>
            <rFont val="Tahoma"/>
            <family val="2"/>
          </rPr>
          <t>Jenny: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Demand elasticity: volume multiplier = (1+Δprice)^ε. ε = -1.5 ⇒ a 10% price cut lifts volume ~17%; ε = -1 ⇒ GP$ falls monotonically with price cuts (revenue-neutral volume). Unsourced modeling input — flex via the dashboard slider.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None</author>
  </authors>
  <commentList>
    <comment ref="E40" authorId="0" shapeId="0" xr:uid="{00000000-0006-0000-0600-000001000000}">
      <text>
        <r>
          <rPr>
            <sz val="12"/>
            <color theme="1"/>
            <rFont val="Aptos Narrow"/>
            <family val="2"/>
            <scheme val="minor"/>
          </rPr>
          <t>SGLang's measured aggregate output-token throughput per GPU over the benchmark run. Numerator is output tokens; denominator includes the full benchmark workload.</t>
        </r>
      </text>
    </comment>
    <comment ref="O40" authorId="0" shapeId="0" xr:uid="{00000000-0006-0000-0600-000002000000}">
      <text>
        <r>
          <rPr>
            <sz val="12"/>
            <color theme="1"/>
            <rFont val="Aptos Narrow"/>
            <family val="2"/>
            <scheme val="minor"/>
          </rPr>
          <t>Allocated from all-in benchmark request cost. Input share = TTFT / (TTFT + decode time).</t>
        </r>
      </text>
    </comment>
    <comment ref="P40" authorId="0" shapeId="0" xr:uid="{00000000-0006-0000-0600-000003000000}">
      <text>
        <r>
          <rPr>
            <sz val="12"/>
            <color theme="1"/>
            <rFont val="Aptos Narrow"/>
            <family val="2"/>
            <scheme val="minor"/>
          </rPr>
          <t>Allocated from all-in benchmark request cost. Output share = decode time / (TTFT + decode time), where decode time = TPOT * (output tokens - 1).</t>
        </r>
      </text>
    </comment>
    <comment ref="B94" authorId="0" shapeId="0" xr:uid="{00000000-0006-0000-0600-000004000000}">
      <text>
        <r>
          <rPr>
            <sz val="12"/>
            <color theme="1"/>
            <rFont val="Aptos Narrow"/>
            <family val="2"/>
            <scheme val="minor"/>
          </rPr>
          <t>Linked to the single GPU-rate input on Margin Model (B4, $3/GPU-hr) so the benchmark cost columns and the Margin Model sensitivity grids always share one rate. Previously an independent hardcoded 3 — flexing one left the other stale.</t>
        </r>
      </text>
    </comment>
  </commentList>
</comments>
</file>

<file path=xl/sharedStrings.xml><?xml version="1.0" encoding="utf-8"?>
<sst xmlns="http://schemas.openxmlformats.org/spreadsheetml/2006/main" count="1881" uniqueCount="740">
  <si>
    <t>OpenAI</t>
  </si>
  <si>
    <t>(USD $B)</t>
  </si>
  <si>
    <t>1. P&amp;L</t>
  </si>
  <si>
    <t>Annual</t>
  </si>
  <si>
    <t>Quarterly</t>
  </si>
  <si>
    <t>2024E</t>
  </si>
  <si>
    <t>2025E</t>
  </si>
  <si>
    <t>2026E</t>
  </si>
  <si>
    <t>2027E</t>
  </si>
  <si>
    <t>2028E</t>
  </si>
  <si>
    <t>2029E</t>
  </si>
  <si>
    <t>2030E</t>
  </si>
  <si>
    <t>Q1 2026</t>
  </si>
  <si>
    <t>Q2 2026</t>
  </si>
  <si>
    <t>ChatGPT Consumer</t>
  </si>
  <si>
    <t>ChatGPT B2B</t>
  </si>
  <si>
    <t>Platform (API on Azure)</t>
  </si>
  <si>
    <t>New Products / Hardware</t>
  </si>
  <si>
    <t>Revenue ($)</t>
  </si>
  <si>
    <t>Growth %</t>
  </si>
  <si>
    <t>As a % of Revenue:</t>
  </si>
  <si>
    <t>COGS</t>
  </si>
  <si>
    <t>Gross Profit</t>
  </si>
  <si>
    <t>Margin %</t>
  </si>
  <si>
    <t>Adj. Margin % (Rev - Inference)</t>
  </si>
  <si>
    <t>R&amp;D</t>
  </si>
  <si>
    <t>Sales &amp; Marketing</t>
  </si>
  <si>
    <t>G&amp;A</t>
  </si>
  <si>
    <t>Total Operating Costs</t>
  </si>
  <si>
    <t>R&amp;D as % of Rev.</t>
  </si>
  <si>
    <t>S&amp;M as % of Rev.</t>
  </si>
  <si>
    <t>G&amp;A as % of Rev.</t>
  </si>
  <si>
    <t>R&amp;D as % of Opex</t>
  </si>
  <si>
    <t>S&amp;M as % of Opex</t>
  </si>
  <si>
    <t>G&amp;A as % of Opex</t>
  </si>
  <si>
    <t>Operating Profit (Loss)</t>
  </si>
  <si>
    <t>Change FV of convertible interests &amp; warrant liability</t>
  </si>
  <si>
    <t>Interest Income (Expense) &amp; Other</t>
  </si>
  <si>
    <t>Net Profit (Loss)</t>
  </si>
  <si>
    <t>Net Profit (Loss) Attrib. to Noncontrolling Interests</t>
  </si>
  <si>
    <t>Net Loss Attrib. to OAI</t>
  </si>
  <si>
    <t>(±) Capex, prepaid compute &amp; other cash items ($B)</t>
  </si>
  <si>
    <t>Free Cash Flow</t>
  </si>
  <si>
    <t>&lt;&lt; OAI targeting FCF positive by 2029-30</t>
  </si>
  <si>
    <t>Serving GM (GPT 5.5) per BN</t>
  </si>
  <si>
    <t>(-) Non-Serving Drag</t>
  </si>
  <si>
    <t>= Reported GM %</t>
  </si>
  <si>
    <t>(-) R&amp;D</t>
  </si>
  <si>
    <t>(-) S&amp;M</t>
  </si>
  <si>
    <t>(-) G&amp;A</t>
  </si>
  <si>
    <t>= Operating margin %</t>
  </si>
  <si>
    <t>Bottoms-Up Revenue Check</t>
  </si>
  <si>
    <t>ChatGPT Consumer Subscriptions</t>
  </si>
  <si>
    <t>Blended Cost</t>
  </si>
  <si>
    <t>Revenue - Consumer</t>
  </si>
  <si>
    <t>Modeled Revenue</t>
  </si>
  <si>
    <t>Delta</t>
  </si>
  <si>
    <t>Enterprise Token Usage</t>
  </si>
  <si>
    <t>Token Cost</t>
  </si>
  <si>
    <t>Revenue - B2B</t>
  </si>
  <si>
    <t>API Token Usage</t>
  </si>
  <si>
    <t>Cost / M</t>
  </si>
  <si>
    <t>Revenue - API</t>
  </si>
  <si>
    <t>Revenue - Codex / Agentic Coding</t>
  </si>
  <si>
    <t>Implied paid-sub penetration (of users)</t>
  </si>
  <si>
    <t>API tokens / month (T)</t>
  </si>
  <si>
    <t>OpenAI revenue &amp; cost forecast — The Information (Feb 20, 2026)</t>
  </si>
  <si>
    <t>Weekly active users (B)</t>
  </si>
  <si>
    <t>Annualized run-rate (ARR) vs. recognized revenue reconciliation</t>
  </si>
  <si>
    <t>Year</t>
  </si>
  <si>
    <t>Reported exit ARR / run-rate ($B)</t>
  </si>
  <si>
    <t>n/a</t>
  </si>
  <si>
    <t>Entry ARR (= prior-year exit, $B)</t>
  </si>
  <si>
    <t>Implied avg run-rate = (entry + exit) / 2 ($B)</t>
  </si>
  <si>
    <t>Recognized revenue (regular, $B)</t>
  </si>
  <si>
    <t>Variance: recognized − implied avg ($B)</t>
  </si>
  <si>
    <t>Variance (%)</t>
  </si>
  <si>
    <t>Memo: exit ARR ÷ recognized revenue (x)</t>
  </si>
  <si>
    <t>Announced / contracted compute spend, cumulative 2026–30 ($B)</t>
  </si>
  <si>
    <t xml:space="preserve">   of which: training ($B)</t>
  </si>
  <si>
    <t>Cash on hand, end-2025 ($B)</t>
  </si>
  <si>
    <t>Equity raised / raising ($B)</t>
  </si>
  <si>
    <t>Funding available ($B)</t>
  </si>
  <si>
    <t>Unit Economics → FCF → Coverage Bridge</t>
  </si>
  <si>
    <t>Committed compute — cumulative 2026–30 ($B)</t>
  </si>
  <si>
    <t>Coverage = funding ÷ committed (x)</t>
  </si>
  <si>
    <t>→ Coverage gap ($B)</t>
  </si>
  <si>
    <t>Anthropic</t>
  </si>
  <si>
    <t>Revenue</t>
  </si>
  <si>
    <t>Anthropic only needs $1.2B in Q3 and Q4 to meet its 2026 revenue target of $18B. Q3 and Q4 is currently plugged conservatively, but Anthropic is likely to beat the $18B revenue target, even despite enterprise churn and movement to open-source models</t>
  </si>
  <si>
    <t xml:space="preserve">CFO's March sworn affidavit put cumulative lifetime revenue at ~$5B </t>
  </si>
  <si>
    <t>Implied ARR</t>
  </si>
  <si>
    <t>(-) COGS</t>
  </si>
  <si>
    <t>Build-vs-rent decides where compute lands: rented → COGS; owned → D&amp;A in COGS. So cross-lab gross margins are partly apples-to-oranges.</t>
  </si>
  <si>
    <t>Margin % (Inference Only)</t>
  </si>
  <si>
    <t>2025 are ProfG estimates that also tie to the leaked $11B operating loss</t>
  </si>
  <si>
    <t>(-) Sales &amp; Marketing</t>
  </si>
  <si>
    <t>Memo: Compute-Adj. Operating Profit</t>
  </si>
  <si>
    <t>(-) Compute Discount Normalization (SpaceX)</t>
  </si>
  <si>
    <t>(-) Free Compute Credits (AWS, Google)</t>
  </si>
  <si>
    <t xml:space="preserve">Amazon (~$8B) + Google compute-credit pools recognized over 2025-28 are normalized away here to show subsidy-free (normalized) operating profit </t>
  </si>
  <si>
    <t>Compute-Adj. Operating Profit (Loss)</t>
  </si>
  <si>
    <t>Memo: Net Revenue</t>
  </si>
  <si>
    <t>Reported Revenue</t>
  </si>
  <si>
    <t>(-) Reseller Pass-Through</t>
  </si>
  <si>
    <t>Partner-channel share of revenue</t>
  </si>
  <si>
    <t>Partner remittance rate (on channel)</t>
  </si>
  <si>
    <t>Net Revenue, on Par with OAI</t>
  </si>
  <si>
    <t>Memo: Calculating out Net Rev. to be apples-to-apples to OAI</t>
  </si>
  <si>
    <t>A. Cash Flow Build</t>
  </si>
  <si>
    <t>% of Revenue</t>
  </si>
  <si>
    <t>Z.ai &amp; Minimax: D&amp;A as % of Revenue</t>
  </si>
  <si>
    <t>EBITDA</t>
  </si>
  <si>
    <t>(+) SBC</t>
  </si>
  <si>
    <t>EBITDA, ex. SBC</t>
  </si>
  <si>
    <t xml:space="preserve">Assuming reported 559M op. profit in Q2 2026 is true and Anthropic sustains roughly last year's operating costs as a % of revenue in Q1 / Q3 / Q4, it will likely hit the previously-forecasted ($14M) operating loss in 2026 </t>
  </si>
  <si>
    <t>(±) Capex, ΔWC, and Non-Cash Items</t>
  </si>
  <si>
    <t>Anthropic targeting FCF positive by 2028</t>
  </si>
  <si>
    <t>Memo: Working Capital</t>
  </si>
  <si>
    <t>B. Serving Margin to Operating Margin Bridge</t>
  </si>
  <si>
    <t>Gross Margin</t>
  </si>
  <si>
    <t>Total COGS ($B)</t>
  </si>
  <si>
    <t>Non-Compute COGS (% of Rev)</t>
  </si>
  <si>
    <t>(-) Non-Compute COGS ($B)</t>
  </si>
  <si>
    <t>= Compute COGS ($B)</t>
  </si>
  <si>
    <t>Serving Capacity Online (GW)</t>
  </si>
  <si>
    <t>Implied Effective Cost ($B / GW-yr)</t>
  </si>
  <si>
    <t>Effective cost falls as revenue fills fixed capacity</t>
  </si>
  <si>
    <t>Implied Compute Cost per $ Rev</t>
  </si>
  <si>
    <t>Implied Compute Margins</t>
  </si>
  <si>
    <t>All-In / Serving Cost Ratio</t>
  </si>
  <si>
    <t>Serving GM (Opus 4.8) per BN</t>
  </si>
  <si>
    <t>Blended marginal serving GM for Opus 4.8 (revenue-weighted input/output), excludes training, R&amp;D, and free-tier subsidy; based on current API prices, so flat across years (a ceiling reference, not a per-year forecast)</t>
  </si>
  <si>
    <t>Implied Serving Costs</t>
  </si>
  <si>
    <t>Non-Serving Drag on GM</t>
  </si>
  <si>
    <t>C. Headcount</t>
  </si>
  <si>
    <t>Beginning HC</t>
  </si>
  <si>
    <t>Ending HC</t>
  </si>
  <si>
    <t>Avg. FTE HC</t>
  </si>
  <si>
    <t>Ending HC Growth %</t>
  </si>
  <si>
    <t>(x) Avg. Annual SBC / Employee ($K)</t>
  </si>
  <si>
    <t>Implied SBC ($B)</t>
  </si>
  <si>
    <t>2. Capital, Compute &amp; Coverage</t>
  </si>
  <si>
    <t>A. Compute Timeline</t>
  </si>
  <si>
    <t>Partner</t>
  </si>
  <si>
    <t>Date</t>
  </si>
  <si>
    <t>Compute type</t>
  </si>
  <si>
    <t>Announced capacity</t>
  </si>
  <si>
    <t>Online timing</t>
  </si>
  <si>
    <t>Economic detail</t>
  </si>
  <si>
    <t>Drives model?</t>
  </si>
  <si>
    <t>Source URL</t>
  </si>
  <si>
    <t>Amazon / AWS</t>
  </si>
  <si>
    <t>2023</t>
  </si>
  <si>
    <t>AWS Trainium / Inferentia</t>
  </si>
  <si>
    <t>Cloud + $4B invest.</t>
  </si>
  <si>
    <t>Multi-year</t>
  </si>
  <si>
    <t>AWS cloud / silicon</t>
  </si>
  <si>
    <t>No</t>
  </si>
  <si>
    <t>Link</t>
  </si>
  <si>
    <t>Google Cloud</t>
  </si>
  <si>
    <t>Google TPUs</t>
  </si>
  <si>
    <t>TPU access + invest.</t>
  </si>
  <si>
    <t>TPU diversity</t>
  </si>
  <si>
    <t>2024</t>
  </si>
  <si>
    <t>Project Rainier</t>
  </si>
  <si>
    <t>Training cluster</t>
  </si>
  <si>
    <t>Ann. 2024</t>
  </si>
  <si>
    <t>Training only</t>
  </si>
  <si>
    <t>SpaceX / xAI</t>
  </si>
  <si>
    <t>2026</t>
  </si>
  <si>
    <t>Colossus GPUs</t>
  </si>
  <si>
    <t>Live</t>
  </si>
  <si>
    <t>$15B/yr bench.</t>
  </si>
  <si>
    <t>Via B and C</t>
  </si>
  <si>
    <t>TPUs</t>
  </si>
  <si>
    <t>2026 online</t>
  </si>
  <si>
    <t>TPU capacity</t>
  </si>
  <si>
    <t>Via B</t>
  </si>
  <si>
    <t>2026-2028</t>
  </si>
  <si>
    <t>Trainium capacity</t>
  </si>
  <si>
    <t>~1GW '26; 5GW '28</t>
  </si>
  <si>
    <t>Compute scale-up</t>
  </si>
  <si>
    <t>Microsoft + NVIDIA</t>
  </si>
  <si>
    <t>Azure / NVIDIA</t>
  </si>
  <si>
    <t>Ramp TBD</t>
  </si>
  <si>
    <t>Capacity ramp</t>
  </si>
  <si>
    <t>Google + Broadcom</t>
  </si>
  <si>
    <t>2027-2028</t>
  </si>
  <si>
    <t>Custom TPUs</t>
  </si>
  <si>
    <t>Starts 2027</t>
  </si>
  <si>
    <t>Custom silicon</t>
  </si>
  <si>
    <t>B. Online Capacity Schedule</t>
  </si>
  <si>
    <t>SpaceX / Colossus 1 (0.3 GW) — live now</t>
  </si>
  <si>
    <t>Google Cloud TPUs (&gt;1 GW) — online 2026</t>
  </si>
  <si>
    <t>Amazon / AWS (up to 5 GW) — ~1 GW by end-26</t>
  </si>
  <si>
    <t>Microsoft + NVIDIA (up to 1 GW)</t>
  </si>
  <si>
    <t>Google + Broadcom (~3.5 GW) — starts 2027</t>
  </si>
  <si>
    <t>Cumulative Online Compute</t>
  </si>
  <si>
    <t>C. Funding &amp; Coverage</t>
  </si>
  <si>
    <t>Equity Raised in Year</t>
  </si>
  <si>
    <t>Cumulative Equity Raised</t>
  </si>
  <si>
    <t>Total Committed Capacity</t>
  </si>
  <si>
    <t>(x) Cost per GW-yr ($B)</t>
  </si>
  <si>
    <t>Contracted rate ($/ Hr per 10 MW)</t>
  </si>
  <si>
    <t>Committed Compute Cost ($B/yr)</t>
  </si>
  <si>
    <t>Annual cost at full utilization</t>
  </si>
  <si>
    <t>Memo: Capacity (GW)</t>
  </si>
  <si>
    <t>Coverage Ratio</t>
  </si>
  <si>
    <t>Funding Gap ($B)</t>
  </si>
  <si>
    <t>Implied Annual Compute Cost ($B/yr)</t>
  </si>
  <si>
    <t>Revenue ($B)</t>
  </si>
  <si>
    <t>Model GM</t>
  </si>
  <si>
    <t>3. Revenue Insights</t>
  </si>
  <si>
    <t>A. Bottoms Up Build</t>
  </si>
  <si>
    <t>Segment</t>
  </si>
  <si>
    <t>Driver 1</t>
  </si>
  <si>
    <t>Driver 2</t>
  </si>
  <si>
    <t>Rev ($B)</t>
  </si>
  <si>
    <t>% of total</t>
  </si>
  <si>
    <t>API / cloud-channel</t>
  </si>
  <si>
    <t>Enterprise direct (ACV)</t>
  </si>
  <si>
    <t>Claude Code run-rate</t>
  </si>
  <si>
    <t>Consumer Claude subscriptions</t>
  </si>
  <si>
    <t>Bottoms-up total</t>
  </si>
  <si>
    <t>Reported 2025 revenue</t>
  </si>
  <si>
    <t>Variance ($B)</t>
  </si>
  <si>
    <t>Memo cross-checks (2025)</t>
  </si>
  <si>
    <t>Implied API tokens / month (T)</t>
  </si>
  <si>
    <t>Blended gross margin (model)</t>
  </si>
  <si>
    <t>Implied blended consumer ARPU ($/yr)</t>
  </si>
  <si>
    <t>Total consumer users (M) — est.</t>
  </si>
  <si>
    <t>Implied paid conversion (subs ÷ users)</t>
  </si>
  <si>
    <t>Monthly ARR Reconciliation</t>
  </si>
  <si>
    <t>Month-End</t>
  </si>
  <si>
    <t>ARR</t>
  </si>
  <si>
    <t>Interpolated ARR</t>
  </si>
  <si>
    <t>Avg ARR ($B)</t>
  </si>
  <si>
    <t>Monthly Rev ($B)</t>
  </si>
  <si>
    <t>Projected ARR ramp (Jul–Dec 2026)</t>
  </si>
  <si>
    <t>Trailing CMGR (Dec'25 → Jun'26)</t>
  </si>
  <si>
    <t>Applied MoM growth (editable)</t>
  </si>
  <si>
    <t>Implied Rev ($B)</t>
  </si>
  <si>
    <t>Reported Rev ($B)</t>
  </si>
  <si>
    <t>Realization %</t>
  </si>
  <si>
    <t>Z.AI</t>
  </si>
  <si>
    <t>USD/CNY (RMB per US$):</t>
  </si>
  <si>
    <t>(USD $K)</t>
  </si>
  <si>
    <t>RMB $ Amount</t>
  </si>
  <si>
    <t>USD $ Amount</t>
  </si>
  <si>
    <t>Year Ended 12/31</t>
  </si>
  <si>
    <t>6Mo Ended 6/30</t>
  </si>
  <si>
    <t>Ann. 1H25</t>
  </si>
  <si>
    <t>Impairment Losses</t>
  </si>
  <si>
    <t>Other</t>
  </si>
  <si>
    <t>Finance costs</t>
  </si>
  <si>
    <t>Share of profits less losses of associates</t>
  </si>
  <si>
    <t>Changes in fair value of financial instruments measured at FVPL</t>
  </si>
  <si>
    <t>Changes in carrying amounts of financial instruments issued to investors</t>
  </si>
  <si>
    <t>Net Income</t>
  </si>
  <si>
    <t>Attrib. Equityholders of Company</t>
  </si>
  <si>
    <t>Attrib. Noncontrolling Interests</t>
  </si>
  <si>
    <t>R&amp;D expense (total)</t>
  </si>
  <si>
    <t xml:space="preserve">  (–) Computing service fees (training / research)</t>
  </si>
  <si>
    <t xml:space="preserve">  (–) R&amp;D payroll &amp; staff</t>
  </si>
  <si>
    <t xml:space="preserve">  (–) Depreciation &amp; amortization</t>
  </si>
  <si>
    <t xml:space="preserve">  (–) Other R&amp;D / overhead (residual)</t>
  </si>
  <si>
    <t>% of R&amp;D</t>
  </si>
  <si>
    <t xml:space="preserve">  Computing / training compute</t>
  </si>
  <si>
    <t xml:space="preserve">  Payroll &amp; staff</t>
  </si>
  <si>
    <t xml:space="preserve">  Depreciation &amp; amortization</t>
  </si>
  <si>
    <t xml:space="preserve">  Other / overhead</t>
  </si>
  <si>
    <t>Takeaway: R&amp;D is compute-dominated (~71%), not headcount-dominated. Inference/serving compute is reported separately in cost of sales, not here.</t>
  </si>
  <si>
    <t>Owned-capex / D&amp;A intensity — reality anchor for frontier estimates</t>
  </si>
  <si>
    <t>Revenue (FY24, $B)</t>
  </si>
  <si>
    <t>Capex / PP&amp;E purchases ($M)   [input]</t>
  </si>
  <si>
    <t>D&amp;A ($M)   [input]</t>
  </si>
  <si>
    <t>Capex as % of revenue</t>
  </si>
  <si>
    <t>Period</t>
  </si>
  <si>
    <t>Notes</t>
  </si>
  <si>
    <t>Operating profit / (loss)</t>
  </si>
  <si>
    <t>D&amp;A add-back</t>
  </si>
  <si>
    <t>D&amp;A / revenue</t>
  </si>
  <si>
    <t>Net cash used in operating activities</t>
  </si>
  <si>
    <t>CFO margin</t>
  </si>
  <si>
    <t>Balance sheet working capital</t>
  </si>
  <si>
    <t>Inventories and contract costs</t>
  </si>
  <si>
    <t>Trade and other receivables</t>
  </si>
  <si>
    <t>Contract assets</t>
  </si>
  <si>
    <t>Operating current assets</t>
  </si>
  <si>
    <t>Trade and other payables</t>
  </si>
  <si>
    <t>Contract liabilities</t>
  </si>
  <si>
    <t>Operating current liabilities</t>
  </si>
  <si>
    <t>Operating NWC</t>
  </si>
  <si>
    <t>Restricted cash</t>
  </si>
  <si>
    <t>Operating NWC incl. restricted cash</t>
  </si>
  <si>
    <t>Reported net current liabilities</t>
  </si>
  <si>
    <t>Working capital ratios</t>
  </si>
  <si>
    <t>Revenue denominator</t>
  </si>
  <si>
    <t>Annualized revenue denominator</t>
  </si>
  <si>
    <t>Operating NWC / revenue</t>
  </si>
  <si>
    <t>Operating NWC / annualized revenue</t>
  </si>
  <si>
    <t>CFO working-capital movement lines</t>
  </si>
  <si>
    <t>Increase in inventories and contract costs</t>
  </si>
  <si>
    <t>(Increase)/decrease in trade and other receivables</t>
  </si>
  <si>
    <t>(Increase)/decrease in contract assets</t>
  </si>
  <si>
    <t>Increase in restricted cash</t>
  </si>
  <si>
    <t>Increase in trade and other payables</t>
  </si>
  <si>
    <t>Increase in contract liabilities</t>
  </si>
  <si>
    <t>Increase/(decrease) in deferred income</t>
  </si>
  <si>
    <t>Total CFO working-capital movement lines</t>
  </si>
  <si>
    <t>MiniMax</t>
  </si>
  <si>
    <t>(US$ in thousands, except for percentages)</t>
  </si>
  <si>
    <t>12Mo Ended 12/31</t>
  </si>
  <si>
    <t>9Mo Ended 9/30</t>
  </si>
  <si>
    <t>Cost of sales</t>
  </si>
  <si>
    <t>Gross (loss)/profit</t>
  </si>
  <si>
    <t>Other income and gains, net</t>
  </si>
  <si>
    <t>Selling and distribution expenses</t>
  </si>
  <si>
    <t>Administrative expenses</t>
  </si>
  <si>
    <t>Research and development expenses</t>
  </si>
  <si>
    <t>Fair value loss on financial liabilities</t>
  </si>
  <si>
    <t>Impairment losses on financial assets, net</t>
  </si>
  <si>
    <t>Loss before tax</t>
  </si>
  <si>
    <t>Income tax expense</t>
  </si>
  <si>
    <t>Loss for the year/period</t>
  </si>
  <si>
    <t>Attributable to:</t>
  </si>
  <si>
    <t>Owners of the parent</t>
  </si>
  <si>
    <t>Non-controlling interests</t>
  </si>
  <si>
    <t>Margins (% of revenue)</t>
  </si>
  <si>
    <t>FY22</t>
  </si>
  <si>
    <t>FY23</t>
  </si>
  <si>
    <t>FY24</t>
  </si>
  <si>
    <t>9M24</t>
  </si>
  <si>
    <t>9M25</t>
  </si>
  <si>
    <t>Gross margin</t>
  </si>
  <si>
    <t>Loss-before-tax margin</t>
  </si>
  <si>
    <t>Net margin</t>
  </si>
  <si>
    <t>Training / research compute</t>
  </si>
  <si>
    <t>Stock-based comp (SBC)</t>
  </si>
  <si>
    <t>Memo: Inference compute in Cost of Sales (9M2025)</t>
  </si>
  <si>
    <t>R&amp;D bucket / driver</t>
  </si>
  <si>
    <t>Z.ai (FY24)</t>
  </si>
  <si>
    <t>MiniMax (FY24)</t>
  </si>
  <si>
    <t>Modeling range</t>
  </si>
  <si>
    <t>70–80%</t>
  </si>
  <si>
    <t>Payroll / cash comp</t>
  </si>
  <si>
    <t>15–20%</t>
  </si>
  <si>
    <t>2–5% (China); higher for US labs</t>
  </si>
  <si>
    <t>Depreciation / owned research infra</t>
  </si>
  <si>
    <t>0–12% (cloud vs owned)</t>
  </si>
  <si>
    <t>Data / evals / technical services / other</t>
  </si>
  <si>
    <t>2–5%</t>
  </si>
  <si>
    <t>USD in thousands; source: minimax financials.pdf</t>
  </si>
  <si>
    <t>Trade receivables</t>
  </si>
  <si>
    <t>Prepayments, other receivables and other assets</t>
  </si>
  <si>
    <t>Trade and bills payables</t>
  </si>
  <si>
    <t>Other payables, accruals and other liabilities</t>
  </si>
  <si>
    <t>Increase in trade receivables</t>
  </si>
  <si>
    <t>(Increase)/decrease in prepayments, other receivables and other assets</t>
  </si>
  <si>
    <t>Increase in trade and bills payables</t>
  </si>
  <si>
    <t>Increase/(decrease) in other payables, accruals and other liabilities</t>
  </si>
  <si>
    <t>Increase in other non-current liabilities</t>
  </si>
  <si>
    <t>(Increase)/decrease in restricted cash</t>
  </si>
  <si>
    <t>Frontier Serving-Cost &amp; Margin Model</t>
  </si>
  <si>
    <t>1 · Assumptions</t>
  </si>
  <si>
    <t>GPU cost $/hr</t>
  </si>
  <si>
    <t>GPUs per node</t>
  </si>
  <si>
    <t>Node cost $/hr</t>
  </si>
  <si>
    <t>Output tokens per request</t>
  </si>
  <si>
    <t>Input tokens per request</t>
  </si>
  <si>
    <t>Frontier serving-cost multiplier (vs GLM)</t>
  </si>
  <si>
    <t>API prices ($/M tokens)</t>
  </si>
  <si>
    <t>Input</t>
  </si>
  <si>
    <t>Output</t>
  </si>
  <si>
    <t>GLM-5.2</t>
  </si>
  <si>
    <t>GPT-5.5</t>
  </si>
  <si>
    <t>Opus 4.8</t>
  </si>
  <si>
    <t>2 · Benchmark reconstruction (SGLang GLM-5.2, B200 FP8)</t>
  </si>
  <si>
    <t>Concurrency</t>
  </si>
  <si>
    <t>Time To First Token (s)</t>
  </si>
  <si>
    <t>Decode/user (tok/s)</t>
  </si>
  <si>
    <t>Req/node (req/s)</t>
  </si>
  <si>
    <t>Input $/M</t>
  </si>
  <si>
    <t>Output $/M</t>
  </si>
  <si>
    <t>3 · Marginal serving gross margins (64-concurrency)</t>
  </si>
  <si>
    <t>Base point: 64-conc row above (E20/F20). MARGINAL serving GM only — excludes training, R&amp;D, free-tier subsidy.</t>
  </si>
  <si>
    <t>Model</t>
  </si>
  <si>
    <t>Price in $/M</t>
  </si>
  <si>
    <t>Price out $/M</t>
  </si>
  <si>
    <t>Cost in $/M</t>
  </si>
  <si>
    <t>Cost out $/M</t>
  </si>
  <si>
    <t>Input GM</t>
  </si>
  <si>
    <t>Output GM</t>
  </si>
  <si>
    <t>Blended GM</t>
  </si>
  <si>
    <t>4 · Sensitivity — output gross margin (64-conc)</t>
  </si>
  <si>
    <t>Input GM is insensitive to these drivers, so only output GM is shown. Base case = GPU $3/hr × 2.0x (center cell).</t>
  </si>
  <si>
    <t>GPT-5.5 — Output gross margin</t>
  </si>
  <si>
    <t>GPU $/hr ↓ / Mult →</t>
  </si>
  <si>
    <t>Opus 4.8 — Output gross margin</t>
  </si>
  <si>
    <t>5 · Sensitivity — output GM to token-price compression</t>
  </si>
  <si>
    <t>Output price ± vs today's base (center row = 0%). Tests open-model price competition (report: Chinese open models 10–50× cheaper per token) vs frontier price hikes. Cost held at base.</t>
  </si>
  <si>
    <t>Price chg ↓ / Model →</t>
  </si>
  <si>
    <t>Read: At -30%, GLM-5.2 output GM falls to 26.7%; breakeven is roughly a 49% output price cut. GPT-5.5 and Opus 4.8 remain strongly positive at -30%.</t>
  </si>
  <si>
    <t>GLM-5.2 Token Economics</t>
  </si>
  <si>
    <t>Combined view — Summary · Math Check · SGLang Raw · TCO Inputs (Braeden, Substack)</t>
  </si>
  <si>
    <t>DEFINITIONS</t>
  </si>
  <si>
    <t>GLM</t>
  </si>
  <si>
    <t>General Language Model — Z.ai's open model family (GLM-5.2 here)</t>
  </si>
  <si>
    <t>TCO</t>
  </si>
  <si>
    <t>Total Cost of Ownership — full cost to own and run the hardware</t>
  </si>
  <si>
    <t>TTFT</t>
  </si>
  <si>
    <t>Time to First Token — latency until the first output token appears</t>
  </si>
  <si>
    <t>TPOT</t>
  </si>
  <si>
    <t>Time per Output Token — per-token decode latency after the first token</t>
  </si>
  <si>
    <t>GPU</t>
  </si>
  <si>
    <t>Graphics Processing Unit — the accelerator chip the model runs on</t>
  </si>
  <si>
    <t>GPU-hr</t>
  </si>
  <si>
    <t>GPU-hour — one GPU running for one hour (the pricing unit)</t>
  </si>
  <si>
    <t>FP8</t>
  </si>
  <si>
    <t>8-bit floating-point — the numerical precision of the benchmark run</t>
  </si>
  <si>
    <t>B200</t>
  </si>
  <si>
    <t>NVIDIA B200 — Blackwell-generation data-center GPU</t>
  </si>
  <si>
    <t>SGLang</t>
  </si>
  <si>
    <t>Structured Generation Language — the LLM serving / benchmark framework</t>
  </si>
  <si>
    <t>LLM</t>
  </si>
  <si>
    <t>Large Language Model</t>
  </si>
  <si>
    <t>tok/s</t>
  </si>
  <si>
    <t>tokens per second (shown as tok/s/GPU, tok/s/user, or tok/s/node)</t>
  </si>
  <si>
    <t>req/s</t>
  </si>
  <si>
    <t>requests per second</t>
  </si>
  <si>
    <t>SUMMARY</t>
  </si>
  <si>
    <t>GLM-5.2 Token Economics Math (Public)</t>
  </si>
  <si>
    <t>Benchmark source</t>
  </si>
  <si>
    <t>https://github.com/sgl-project/sglang/blob/fac11f3bc160ab07cfe3f5e352ed95d4d8567fc9/docs_new/src/snippets/configs/zai-org/glm-5.2-benchmarks.jsx#L44-L72</t>
  </si>
  <si>
    <t>TCO source / assumption</t>
  </si>
  <si>
    <t>SemiAnalysis/InferenceX B200 constants at commit d0ccc658 list $1.95 hyperscaler / $2.34 neocloud / $2.90 retail; this workbook uses a rounded $3.00/GPU-hour base case for contracted B200 capacity. Source: https://github.com/SemiAnalysisAI/InferenceX-app/blob/d0ccc65819e4c396c4ca5243f1ec2c7864da318d/packages/constants/src/gpu-keys.ts#L31</t>
  </si>
  <si>
    <t>Included in proposed table</t>
  </si>
  <si>
    <t>B200, FP8, single-node rows only. Public copy prepared June 24, 2026.</t>
  </si>
  <si>
    <t>Cost formulas</t>
  </si>
  <si>
    <t>Request throughput = output tok/s/GPU * GPUs / output tokens/request. Cost/request = node $/s / request throughput. Input/output costs are allocated by TTFT vs TPOT decode time; formulas are preserved in Math Check.</t>
  </si>
  <si>
    <t>TPOT is SGLang's per-token decode latency after the first token; tokens/sec/GPU is aggregate output-token throughput over the benchmark run.</t>
  </si>
  <si>
    <t>Concurrent Requests</t>
  </si>
  <si>
    <t>Speed After First Token / User</t>
  </si>
  <si>
    <t>Request Throughput / Node</t>
  </si>
  <si>
    <t>Allocated Cost / 1M Input Tokens ($3/GPU-hr)</t>
  </si>
  <si>
    <t>Allocated Cost / 1M Output Tokens ($3/GPU-hr)</t>
  </si>
  <si>
    <t>Footnote strategy mapping</t>
  </si>
  <si>
    <t>1 and 16 concurrent requests</t>
  </si>
  <si>
    <t>low-latency</t>
  </si>
  <si>
    <t>64 and 256 concurrent requests</t>
  </si>
  <si>
    <t>balanced</t>
  </si>
  <si>
    <t>1,024 concurrent requests</t>
  </si>
  <si>
    <t>high-throughput</t>
  </si>
  <si>
    <t>Source workload</t>
  </si>
  <si>
    <t>random, 8,192 input tokens, 1,024 output tokens</t>
  </si>
  <si>
    <t>MATH CHECK</t>
  </si>
  <si>
    <t>Strategy (source)</t>
  </si>
  <si>
    <t>Output tok/s/GPU (SGLang)</t>
  </si>
  <si>
    <t>GPUs / Node</t>
  </si>
  <si>
    <t>Output tok/s/node</t>
  </si>
  <si>
    <t>Output Tokens / Request</t>
  </si>
  <si>
    <t>Input Tokens / Request</t>
  </si>
  <si>
    <t>Cost / Request</t>
  </si>
  <si>
    <t>Decode Time / Request</t>
  </si>
  <si>
    <t>Input Cost Share</t>
  </si>
  <si>
    <t>Output Cost Share</t>
  </si>
  <si>
    <t>SGLANG RAW</t>
  </si>
  <si>
    <t>HW</t>
  </si>
  <si>
    <t>Quant</t>
  </si>
  <si>
    <t>Strategy</t>
  </si>
  <si>
    <t>Nodes</t>
  </si>
  <si>
    <t>SGLang Version</t>
  </si>
  <si>
    <t>Dataset</t>
  </si>
  <si>
    <t>Input Tokens</t>
  </si>
  <si>
    <t>Output Tokens</t>
  </si>
  <si>
    <t>Max Concurrency</t>
  </si>
  <si>
    <t>TTFT ms</t>
  </si>
  <si>
    <t>TPOT ms</t>
  </si>
  <si>
    <t>Tokens/sec/GPU</t>
  </si>
  <si>
    <t>h200</t>
  </si>
  <si>
    <t>fp8</t>
  </si>
  <si>
    <t>single</t>
  </si>
  <si>
    <t>0.5.13.post1</t>
  </si>
  <si>
    <t>random</t>
  </si>
  <si>
    <t>https://github.com/sgl-project/sglang/blob/fac11f3bc160ab07cfe3f5e352ed95d4d8567fc9/docs_new/src/snippets/configs/zai-org/glm-5.2-benchmarks.jsx#L4</t>
  </si>
  <si>
    <t>b200</t>
  </si>
  <si>
    <t>gb300</t>
  </si>
  <si>
    <t>b300</t>
  </si>
  <si>
    <t>bf16</t>
  </si>
  <si>
    <t>TCO INPUTS</t>
  </si>
  <si>
    <t>GPU Key</t>
  </si>
  <si>
    <t>Vendor</t>
  </si>
  <si>
    <t>Arch</t>
  </si>
  <si>
    <t>Label</t>
  </si>
  <si>
    <t>Hyperscaler $/GPU-hr</t>
  </si>
  <si>
    <t>Neocloud $/GPU-hr</t>
  </si>
  <si>
    <t>Retail $/GPU-hr</t>
  </si>
  <si>
    <t>h100</t>
  </si>
  <si>
    <t>NVIDIA</t>
  </si>
  <si>
    <t>Hopper</t>
  </si>
  <si>
    <t>H100</t>
  </si>
  <si>
    <t>https://github.com/SemiAnalysisAI/InferenceX-app/blob/d0ccc65819e4c396c4ca5243f1ec2c7864da318d/packages/constants/src/gpu-keys.ts#L31</t>
  </si>
  <si>
    <t>H200</t>
  </si>
  <si>
    <t>Blackwell</t>
  </si>
  <si>
    <t>B300</t>
  </si>
  <si>
    <t>gb200</t>
  </si>
  <si>
    <t>GB200 NVL72</t>
  </si>
  <si>
    <t>GB300 NVL72</t>
  </si>
  <si>
    <t>mi300x</t>
  </si>
  <si>
    <t>AMD</t>
  </si>
  <si>
    <t>CDNA 3</t>
  </si>
  <si>
    <t>MI300X</t>
  </si>
  <si>
    <t>mi325x</t>
  </si>
  <si>
    <t>MI325X</t>
  </si>
  <si>
    <t>mi355x</t>
  </si>
  <si>
    <t>CDNA 4</t>
  </si>
  <si>
    <t>MI355X</t>
  </si>
  <si>
    <t>Model constants / working assumptions</t>
  </si>
  <si>
    <t>Tokens per million</t>
  </si>
  <si>
    <t>Seconds per hour</t>
  </si>
  <si>
    <t>B200 assumed $/GPU-hr</t>
  </si>
  <si>
    <t>Public workbook note</t>
  </si>
  <si>
    <t>The $3.00/GPU-hour base case is a rounded contracted-capacity assumption, above the linked B200 retail TCO constant, not a spot market quote.</t>
  </si>
  <si>
    <t>SGLang source</t>
  </si>
  <si>
    <t>B200 TCO source</t>
  </si>
  <si>
    <t>Source: https://docs.google.com/spreadsheets/d/1JoKS7NaVWKZfYxPG6Ad1-Tqzt5vU7NIj5o248DdI6ls/edit?ref=wheresyoured.at&amp;gid=0#gid=0</t>
  </si>
  <si>
    <t>Annualized</t>
  </si>
  <si>
    <t>Amount</t>
  </si>
  <si>
    <t>Jan 1 2025</t>
  </si>
  <si>
    <t>Jan 1 25 to Feb 1 25</t>
  </si>
  <si>
    <t>https://www.cnbc.com/2025/01/22/google-agrees-to-new-1-billion-investment-in-anthropic.html</t>
  </si>
  <si>
    <t>March 11 2025</t>
  </si>
  <si>
    <t>Feb 10 to March 10</t>
  </si>
  <si>
    <t>https://www.theinformation.com/newsletters/ai-agenda/anthropics-claude-drives-strong-revenue-growth-while-powering-manus-sensation?rc=kz8jh3</t>
  </si>
  <si>
    <t>March 30 2025</t>
  </si>
  <si>
    <t>Feb 30 to March 30</t>
  </si>
  <si>
    <t>http://cnbc.com/2025/05/16/anthropic-ai-credit-facility.html</t>
  </si>
  <si>
    <t>May 30 2025</t>
  </si>
  <si>
    <t>April 30 to May 30</t>
  </si>
  <si>
    <t>https://www.cnbc.com/2025/05/30/anthropic-hits-3-billion-in-annualized-revenue-on-business-demand-for-ai.html</t>
  </si>
  <si>
    <t>July 1 2025</t>
  </si>
  <si>
    <t>June 1 to July 1</t>
  </si>
  <si>
    <t>https://www.theinformation.com/articles/anthropic-revenue-hits-4-billion-annual-pace-competition-cursor-intensifies?rc=kz8jh3</t>
  </si>
  <si>
    <t>July 31 2025</t>
  </si>
  <si>
    <t>July 1 to July 31</t>
  </si>
  <si>
    <t>https://archive.ph/KWhkD</t>
  </si>
  <si>
    <t>Oct 21 2025</t>
  </si>
  <si>
    <t>August 21 to October 21</t>
  </si>
  <si>
    <t>https://www.anthropic.com/news/statement-dario-amodei-american-ai-leadership</t>
  </si>
  <si>
    <t>December 31 2025</t>
  </si>
  <si>
    <t>Nov 30 to Dec 31</t>
  </si>
  <si>
    <t>https://archive.ph/zXuUc</t>
  </si>
  <si>
    <t>"End of 2025"</t>
  </si>
  <si>
    <t>Feb 12 2026</t>
  </si>
  <si>
    <t>Jan 12 to Feb 12</t>
  </si>
  <si>
    <t>https://www.anthropic.com/news/anthropic-raises-30-billion-series-g-funding-380-billion-post-money-valuation</t>
  </si>
  <si>
    <t>March 3 2026</t>
  </si>
  <si>
    <t>Feb 3 to March 3</t>
  </si>
  <si>
    <t>https://x.com/apoorv03/status/2029018856342290550?s=20</t>
  </si>
  <si>
    <t>Calculated to reflect 19 days between Feb 12 and March 3</t>
  </si>
  <si>
    <t>Total</t>
  </si>
  <si>
    <t>April 1 to 30 25</t>
  </si>
  <si>
    <t>Estimate based on end of march report of $2bn arr)</t>
  </si>
  <si>
    <t>Aug 1 to Aug 20 2025</t>
  </si>
  <si>
    <t>Assuming $4 billion from July (to be safe)</t>
  </si>
  <si>
    <t>Nov 1 to Nov 29 25</t>
  </si>
  <si>
    <t>Assuming (to be safe) $7 billion AR from October period</t>
  </si>
  <si>
    <t>Jan 1 to 11 26</t>
  </si>
  <si>
    <t>Assuming $9bn ARR based on December revenue, to be safe</t>
  </si>
  <si>
    <t>Total Missing Periods</t>
  </si>
  <si>
    <t>Total from 2025 to 2026 YTD (Est)</t>
  </si>
  <si>
    <t>2025 Total (Est)</t>
  </si>
  <si>
    <t>company</t>
  </si>
  <si>
    <t>metric</t>
  </si>
  <si>
    <t>year</t>
  </si>
  <si>
    <t>segment</t>
  </si>
  <si>
    <t>value_usd_b</t>
  </si>
  <si>
    <t>source_basis</t>
  </si>
  <si>
    <t>notes</t>
  </si>
  <si>
    <t>Revenue reconciliation — model vs WSJ ($B)</t>
  </si>
  <si>
    <t>free_cash_flow</t>
  </si>
  <si>
    <t>total</t>
  </si>
  <si>
    <t>article_and_chart</t>
  </si>
  <si>
    <t>Article text says OpenAI anticipates burning $85B in 2028</t>
  </si>
  <si>
    <t>Company</t>
  </si>
  <si>
    <t>Our model</t>
  </si>
  <si>
    <t>WSJ (chart est.)</t>
  </si>
  <si>
    <t>Δ</t>
  </si>
  <si>
    <t>Δ %</t>
  </si>
  <si>
    <t>Flag</t>
  </si>
  <si>
    <t>model_training_cost</t>
  </si>
  <si>
    <t>Article text explicitly says OpenAI expects $121B research compute in 2028</t>
  </si>
  <si>
    <t>chart_pixel_estimate</t>
  </si>
  <si>
    <t>WSJ chart image; approximate</t>
  </si>
  <si>
    <t>WSJ chart image; approximate; 2025 figure is an estimate per WSJ note</t>
  </si>
  <si>
    <t>profit_excluding_training_costs</t>
  </si>
  <si>
    <t>WSJ chart image black dash; approximate</t>
  </si>
  <si>
    <t>WSJ chart image black dash; approximate; 2025 figure is an estimate per WSJ note</t>
  </si>
  <si>
    <t>profit_including_training_costs</t>
  </si>
  <si>
    <t>WSJ chart image; approximate; Anthropic metric is EBITDA per WSJ note</t>
  </si>
  <si>
    <t>revenue</t>
  </si>
  <si>
    <t>consumer</t>
  </si>
  <si>
    <t>enterprise</t>
  </si>
  <si>
    <t>WSJ chart image; approximate; OpenAI metric is EBIT per WSJ note</t>
  </si>
  <si>
    <t>new_products</t>
  </si>
  <si>
    <t>WSJ chart image; approximate; article says 2028 sales nearly double prior year</t>
  </si>
  <si>
    <t>WSJ chart image; approximate; new products includes hardware</t>
  </si>
  <si>
    <t>not_readable</t>
  </si>
  <si>
    <t>2024 bar effectively invisible in revenue chart</t>
  </si>
  <si>
    <t>total (Dec 2025 outlook)</t>
  </si>
  <si>
    <t>the_information_chart</t>
  </si>
  <si>
    <t>The Information, "OpenAI Boosts Revenue Forecast" (Jun 2026); hover tooltip — Cash Flow Paths, Anthropic Outlook Dec 2025</t>
  </si>
  <si>
    <t>total (Dec 2025 optimistic outlook)</t>
  </si>
  <si>
    <t>The Information, "OpenAI Boosts Revenue Forecast" (Jun 2026); hover tooltip — Revving Up, Anthropic Optimistic Outlook Dec 2025</t>
  </si>
  <si>
    <t>total (Q1 2026 outlook)</t>
  </si>
  <si>
    <t>The Information, "OpenAI Boosts Revenue Forecast" (Jun 2026); hover tooltip — Cash Flow Paths, OpenAI Outlook Q1 2026</t>
  </si>
  <si>
    <t>total (Q3 2025 prior outlook)</t>
  </si>
  <si>
    <t>The Information, "OpenAI Boosts Revenue Forecast" (Jun 2026); hover tooltip — Cash Flow Paths, OpenAI Outlook Q3 2025 (prior vintage)</t>
  </si>
  <si>
    <t>The Information, "OpenAI Boosts Revenue Forecast" (Jun 2026); hover tooltip — Revving Up, OpenAI Outlook Q1 2026</t>
  </si>
  <si>
    <t>the_information_chart_image</t>
  </si>
  <si>
    <t>Displayed chart total; segment split not visibly readable</t>
  </si>
  <si>
    <t>Displayed chart total; figures rounded</t>
  </si>
  <si>
    <t>Displayed chart total; projected</t>
  </si>
  <si>
    <t>chatgpt_consumer_including_ads</t>
  </si>
  <si>
    <t>the_information_chart_image_estimate</t>
  </si>
  <si>
    <t>Tiny 2023 bar appears effectively all consumer; approximate</t>
  </si>
  <si>
    <t>chatgpt_b2b_including_agents_research_partnerships</t>
  </si>
  <si>
    <t>Tiny 2023 bar; not visibly separable</t>
  </si>
  <si>
    <t>platform_api_sales_on_microsoft_azure</t>
  </si>
  <si>
    <t>new_products_including_hardware</t>
  </si>
  <si>
    <t>Pixel-estimated segment normalized to displayed total</t>
  </si>
  <si>
    <t>Pixel-estimated segment normalized to displayed total; article text says consumer about $17B</t>
  </si>
  <si>
    <t>Pixel-estimated segment normalized to displayed total; article text says corporate ChatGPT about $8B</t>
  </si>
  <si>
    <t>Pixel-estimated segment normalized to displayed total; article text says API/model sales about $5B</t>
  </si>
  <si>
    <t>Segment too small to read cleanly; article text says about $0.1B</t>
  </si>
  <si>
    <t>Pixel-estimated segment normalized to displayed total; article text says API/model sales about $10.5B</t>
  </si>
  <si>
    <t>Pixel-estimated segment normalized to displayed total; article text says new products about $1.3B</t>
  </si>
  <si>
    <t>Pixel-estimated segment normalized to displayed total; article text says consumer about $150B</t>
  </si>
  <si>
    <t>Pixel-estimated segment normalized to displayed total; article text says model/API sales about $50B</t>
  </si>
  <si>
    <t>Pixel-estimated segment normalized to displayed total; article text says new products about 5% of total</t>
  </si>
  <si>
    <t>ai_running_and_training_cost_cumulative</t>
  </si>
  <si>
    <t>2025-2030</t>
  </si>
  <si>
    <t>the_information_text</t>
  </si>
  <si>
    <t>The Information Feb 20 2026; costs of running and training AI through 2030</t>
  </si>
  <si>
    <t>cash_balance</t>
  </si>
  <si>
    <t>The Information Feb 20 2026; cash at end of 2025</t>
  </si>
  <si>
    <t>The Information Feb 20 2026; cash burn last year; about $500M less than summer forecast</t>
  </si>
  <si>
    <t>The Information Feb 20 2026; expected cash burn this year</t>
  </si>
  <si>
    <t>The Information Feb 20 2026; expected cash burn next year</t>
  </si>
  <si>
    <t>The Information Feb 20 2026; expects to turn cash-flow positive and generate nearly $40B in cash</t>
  </si>
  <si>
    <t>incremental_cash_burn_vs_prior_forecast</t>
  </si>
  <si>
    <t>The Information Feb 20 2026; headline correction says $111B additional cash burn not $112B</t>
  </si>
  <si>
    <t>inference_cost</t>
  </si>
  <si>
    <t>The Information Feb 20 2026; costs of running AI models for users; inference costs quadrupled in 2025</t>
  </si>
  <si>
    <t>paying_users</t>
  </si>
  <si>
    <t>The Information Feb 20 2026; inference cost for paying users</t>
  </si>
  <si>
    <t>The Information Feb 20 2026; expected inference costs this year</t>
  </si>
  <si>
    <t>The Information Feb 20 2026; expected inference costs next year</t>
  </si>
  <si>
    <t>The Information Feb 20 2026; about $1B less than summer forecast</t>
  </si>
  <si>
    <t>The Information Feb 20 2026; updated training-cost forecast</t>
  </si>
  <si>
    <t>model_training_cost_cumulative</t>
  </si>
  <si>
    <t>The Information Feb 20 2026; training costs total nearly $440B through 2030</t>
  </si>
  <si>
    <t>The Information Feb 20 2026; revenue more than tripled in 2025 to $13.1B; $100M above prior projection</t>
  </si>
  <si>
    <t>The Information Feb 20 2026; updated forecast for current year</t>
  </si>
  <si>
    <t>The Information Feb 20 2026; updated forecast for next year</t>
  </si>
  <si>
    <t>(+) D&amp;A (wedge vs. WSJ EBITDA)</t>
  </si>
  <si>
    <t>Row 48 is NOT independently sourced D&amp;A (depreciation &amp; amortization) — it is the implied wedge between leaked EBITDA (row 52) and operating profit (row 47). At $10.1B (18% of rev.) in 2027 it is not negligible, so treat it as a reconciliation wedge between the two leak series (labs rent most compute, but the leaks disagree by this amount), not a depreciation forecast. ΔWC still assumed small; op. profit ≈ operating cash flow only before this wedge.</t>
  </si>
  <si>
    <t>Q3 2026 (floor)</t>
  </si>
  <si>
    <t>Q4 2026 (floor)</t>
  </si>
  <si>
    <t>% in COGS</t>
  </si>
  <si>
    <t>Training Cost</t>
  </si>
  <si>
    <t>Inference Cost</t>
  </si>
  <si>
    <t>2. R&amp;D Cost Decomposition</t>
  </si>
  <si>
    <t>4. Financial Spread — Cash Flow &amp; Working Capital</t>
  </si>
  <si>
    <t>3. Capex Intensity Anchor (FY2024) — audited HK IPO prospectus</t>
  </si>
  <si>
    <t>3. Frontier-Lab R&amp;D Mix Benchmark — for Anthropic / OpenAI modeling</t>
  </si>
  <si>
    <t>4. Capex Intensity Anchor (FY2024) — audited HK IPO prospectus</t>
  </si>
  <si>
    <t>5. MiniMax Financial Spread</t>
  </si>
  <si>
    <t>Ann. 2025</t>
  </si>
  <si>
    <t>(-) Training / research cloud &amp; compute</t>
  </si>
  <si>
    <t>(-) R&amp;D staff (cash payroll)</t>
  </si>
  <si>
    <t>(-) R&amp;D stock-based comp (SBC)</t>
  </si>
  <si>
    <t>(-) Other R&amp;D / overhead (residual)</t>
  </si>
  <si>
    <t>Training / research compute, % of R&amp;D</t>
  </si>
  <si>
    <t>R&amp;D staff (cash payroll), % of R&amp;D</t>
  </si>
  <si>
    <t>Stock-based comp (SBC), % of R&amp;D</t>
  </si>
  <si>
    <t>Other / overhead, % of R&amp;D</t>
  </si>
  <si>
    <t xml:space="preserve">   Training split, % of 2028–30 residual</t>
  </si>
  <si>
    <t>Check: net loss if 2026–30 training were fully expensed ($B)</t>
  </si>
  <si>
    <t>3b · MiniMax-M2.7 — same method, open-weights direct (SGLang bench, 2× GB300 FP8)</t>
  </si>
  <si>
    <t>GB300 GPU cost $/hr</t>
  </si>
  <si>
    <t>GPUs per server (TP=2)</t>
  </si>
  <si>
    <t>Server cost $/hr</t>
  </si>
  <si>
    <t>Bench throughput — input / output (tok/s per server)</t>
  </si>
  <si>
    <t>Cost per M tokens (blended, 1:1 bench workload)</t>
  </si>
  <si>
    <t>API price in / out ($/M tokens)</t>
  </si>
  <si>
    <t>Marginal serving GM @ 1:1 bench mix</t>
  </si>
  <si>
    <t>Marginal serving GM — M2.7 (SGLang bench @ 1:1 mix)</t>
  </si>
  <si>
    <t>6 · Demand response — gross-profit-$ index vs price change</t>
  </si>
  <si>
    <t>Volume response = (1+Δprice)^ε (constant elasticity). GP$ index = (blended price×(1+Δ) − blended cost) × volume, base 0% = 100. Blended at the B8:B7 token mix; marginal serving GP only. Wire dashboard slider to ε (B71); chart series = C:E per price step.</t>
  </si>
  <si>
    <t>Price elasticity of demand (ε)</t>
  </si>
  <si>
    <t>Blended price $/M</t>
  </si>
  <si>
    <t>Blended cost $/M</t>
  </si>
  <si>
    <t xml:space="preserve">   o/w serving share of capacity (%)</t>
  </si>
  <si>
    <t xml:space="preserve">   o/w serving current revenue ($B/yr)</t>
  </si>
  <si>
    <t xml:space="preserve">   o/w training &amp; growth build-out ($B/yr)</t>
  </si>
  <si>
    <t>GM at benchmark — full committed cost (memo)</t>
  </si>
  <si>
    <t>GM at benchmark — serving share only</t>
  </si>
  <si>
    <t>Gap vs. Model GM (serving-only)</t>
  </si>
  <si>
    <t>Even the contracted benchmark rate cannot be applied literally to full committed capacity; model requires a lower effective rate, subsidies, partner economics, or less borne capacity. Serving-only line shows the margin-relevant test.</t>
  </si>
  <si>
    <t>Utilizing OAI's serving share of capacity as a proxiy</t>
  </si>
  <si>
    <t>Committed-Compute Stress Test (Contracted Rate, Full Utilization)</t>
  </si>
  <si>
    <t>4. Valuation Bridge — What the Round Prices Require</t>
  </si>
  <si>
    <t>Round</t>
  </si>
  <si>
    <t>Raised ($B)</t>
  </si>
  <si>
    <t>Post-money ($B)</t>
  </si>
  <si>
    <t>ARR at round ($B)</t>
  </si>
  <si>
    <t>Post ÷ ARR</t>
  </si>
  <si>
    <t>Post ÷ FY rev</t>
  </si>
  <si>
    <t>FY basis</t>
  </si>
  <si>
    <t>Series E</t>
  </si>
  <si>
    <t>2025A</t>
  </si>
  <si>
    <t>Series F</t>
  </si>
  <si>
    <t>Series G</t>
  </si>
  <si>
    <t>Series H</t>
  </si>
  <si>
    <t>Apr–May 2026</t>
  </si>
  <si>
    <t xml:space="preserve">   (Series D, Feb 2024, excluded — no post-money valuation in tab sources)</t>
  </si>
  <si>
    <t>Series H post ÷ 2027E revenue ($55B)</t>
  </si>
  <si>
    <t>Series H post ÷ 2028E revenue ($102B)</t>
  </si>
  <si>
    <t>Committed-compute funding gap 2027–28 ($B)</t>
  </si>
  <si>
    <t>Implied dilution to close gap at Series H price</t>
  </si>
  <si>
    <t>Mar 2025</t>
  </si>
  <si>
    <t>Sep 2025</t>
  </si>
  <si>
    <t>Feb 2026</t>
  </si>
  <si>
    <t>A. Commitment &amp; Funding Coverage</t>
  </si>
  <si>
    <t>SpaceX normalized rate ($B / mo)</t>
  </si>
  <si>
    <t>Q2'26 discount window (months)</t>
  </si>
  <si>
    <t>Est. rate actually paid in window ($B / mo)</t>
  </si>
  <si>
    <t>Memo: Compute Adjustment Drivers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</si>
</sst>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4">
    <numFmt numFmtId="164" formatCode="mmm\ yyyy"/>
    <numFmt numFmtId="165" formatCode="&quot;$&quot;0.0_);\(&quot;$&quot;0.0\);\-_);@_)"/>
    <numFmt numFmtId="166" formatCode="0%;\(0%\);\-"/>
    <numFmt numFmtId="167" formatCode="&quot;$&quot;#,##0.0;\(&quot;$&quot;#,##0.0\);\-"/>
    <numFmt numFmtId="168" formatCode="0.0_);\(0.0\);\-_);@_)"/>
    <numFmt numFmtId="169" formatCode="&quot;$&quot;#,##0.0"/>
    <numFmt numFmtId="170" formatCode="&quot;$&quot;#,##0.00"/>
    <numFmt numFmtId="171" formatCode="0.0&quot;x&quot;"/>
    <numFmt numFmtId="172" formatCode="0.0"/>
    <numFmt numFmtId="173" formatCode="0.0%"/>
    <numFmt numFmtId="174" formatCode="&quot;$&quot;#,##0"/>
    <numFmt numFmtId="175" formatCode="&quot;$&quot;#,##0_);\(&quot;$&quot;#,##0\);\-_);@_)"/>
    <numFmt numFmtId="176" formatCode="#,##0_);\(#,##0\);\-_);@_)"/>
    <numFmt numFmtId="177" formatCode="0.0000"/>
    <numFmt numFmtId="178" formatCode="0.0&quot;s&quot;"/>
    <numFmt numFmtId="179" formatCode="#,##0&quot; tok/s/user&quot;"/>
    <numFmt numFmtId="180" formatCode="0.00&quot; req/s&quot;"/>
    <numFmt numFmtId="181" formatCode="\$0.00"/>
    <numFmt numFmtId="182" formatCode="#,##0&quot; tok/s&quot;"/>
    <numFmt numFmtId="183" formatCode="#,##0&quot; tok/s/GPU&quot;"/>
    <numFmt numFmtId="184" formatCode="\$0.0000"/>
    <numFmt numFmtId="185" formatCode="\$0.000"/>
    <numFmt numFmtId="186" formatCode="#,##0,_);\(#,##0,\);\-_);@_)"/>
    <numFmt numFmtId="187" formatCode="&quot;$&quot;#,##0,_);\(&quot;$&quot;#,##0,\);\-_);@_)"/>
    <numFmt numFmtId="188" formatCode="\+0%;\-0%;0%"/>
    <numFmt numFmtId="189" formatCode="&quot;$&quot;0_);\(&quot;$&quot;0\);\-_);@_)"/>
    <numFmt numFmtId="190" formatCode="#,##0&quot; T&quot;"/>
    <numFmt numFmtId="191" formatCode="#,##0&quot; M&quot;"/>
    <numFmt numFmtId="192" formatCode="0.0%_);\(0.0%\);\-_);@_)"/>
    <numFmt numFmtId="193" formatCode="&quot;$&quot;#,##0.0;\(&quot;$&quot;#,##0.0\)"/>
    <numFmt numFmtId="194" formatCode="0.0&quot; GW&quot;"/>
    <numFmt numFmtId="195" formatCode="0.00&quot;x&quot;"/>
    <numFmt numFmtId="196" formatCode="0%;\(0%\)"/>
    <numFmt numFmtId="197" formatCode="#,##0%_);\(#,##0%\);\-_);@_)"/>
    <numFmt numFmtId="198" formatCode="0.0%;\(0.0%\);\-_);@_)"/>
    <numFmt numFmtId="199" formatCode="&quot;$&quot;0.000"/>
    <numFmt numFmtId="200" formatCode="#,##0;\(#,##0\);\-"/>
    <numFmt numFmtId="201" formatCode="&quot;$&quot;0.0&quot;B RR&quot;"/>
    <numFmt numFmtId="202" formatCode="0%&quot; rec&quot;"/>
    <numFmt numFmtId="203" formatCode="0.0&quot;M subs&quot;"/>
    <numFmt numFmtId="204" formatCode="&quot;$&quot;#,##0&quot;/mo&quot;"/>
    <numFmt numFmtId="205" formatCode="0.0&quot;M seats&quot;"/>
    <numFmt numFmtId="206" formatCode="&quot;$&quot;0.0&quot;/M&quot;"/>
    <numFmt numFmtId="207" formatCode="&quot;$&quot;#,##0&quot;/seat/yr&quot;"/>
    <numFmt numFmtId="208" formatCode="&quot;$&quot;#,##0.0_);\(&quot;$&quot;#,##0.0\);\-_);@_)"/>
    <numFmt numFmtId="209" formatCode="\~&quot;$&quot;0.0_);\~\(&quot;$&quot;0.0\);\-_);@_)"/>
    <numFmt numFmtId="210" formatCode="#,##0&quot; accts&quot;"/>
    <numFmt numFmtId="211" formatCode="&quot;$&quot;#,##0&quot;K ACV&quot;"/>
    <numFmt numFmtId="212" formatCode="0.0%;\(0.0%\)"/>
    <numFmt numFmtId="213" formatCode="0.0&quot; GW&quot;_)"/>
    <numFmt numFmtId="214" formatCode="\&gt;0.0&quot; GW&quot;_)"/>
    <numFmt numFmtId="215" formatCode="\≤0.0&quot; GW&quot;_)"/>
    <numFmt numFmtId="216" formatCode="\~0.0&quot; GW&quot;_)"/>
    <numFmt numFmtId="217" formatCode="0.0&quot; GW&quot;_);\(0.0&quot; GW&quot;\);\-_);@_)"/>
    <numFmt numFmtId="218" formatCode="0.0&quot;x&quot;_);\(0.0&quot;x&quot;\);\-_);@_)"/>
    <numFmt numFmtId="219" formatCode="#,##0.0"/>
    <numFmt numFmtId="220" formatCode="#,##0%"/>
    <numFmt numFmtId="226" formatCode="&quot;$&quot;#,##0_);\(&quot;$&quot;#,##0\);&quot;$&quot;\-_);@_)"/>
    <numFmt numFmtId="227" formatCode="&quot;$&quot;#,##0.000"/>
    <numFmt numFmtId="228" formatCode="&quot;$&quot;#,##0.0_)"/>
    <numFmt numFmtId="229" formatCode="#,##0.0_)"/>
    <numFmt numFmtId="230" formatCode="&quot;$&quot;0.00_);\(&quot;$&quot;0.00\);\-_);@_)"/>
    <numFmt numFmtId="231" formatCode="0_);\(0\);\-_);@_)"/>
    <numFmt numFmtId="232" formatCode="0.0\x_);\(0.0\x\);\-\x_);@_)"/>
  </numFmts>
  <fonts count="56" x14ac:knownFonts="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1"/>
      <color rgb="FF000000"/>
      <name val="Aptos Narrow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rgb="FF595959"/>
      <name val="Arial"/>
      <family val="2"/>
    </font>
    <font>
      <b/>
      <sz val="11"/>
      <color theme="0"/>
      <name val="Arial"/>
      <family val="2"/>
    </font>
    <font>
      <b/>
      <sz val="11"/>
      <color rgb="FF0000FF"/>
      <name val="Arial"/>
      <family val="2"/>
    </font>
    <font>
      <i/>
      <sz val="11"/>
      <color theme="1"/>
      <name val="Arial"/>
      <family val="2"/>
    </font>
    <font>
      <i/>
      <sz val="11"/>
      <color rgb="FF0000FF"/>
      <name val="Arial"/>
      <family val="2"/>
    </font>
    <font>
      <sz val="11"/>
      <color rgb="FF0000FF"/>
      <name val="Arial"/>
      <family val="2"/>
    </font>
    <font>
      <b/>
      <sz val="11"/>
      <color rgb="FFFFFFFF"/>
      <name val="Arial"/>
      <family val="2"/>
    </font>
    <font>
      <sz val="11"/>
      <color rgb="FF008000"/>
      <name val="Arial"/>
      <family val="2"/>
    </font>
    <font>
      <b/>
      <sz val="11"/>
      <color rgb="FF1F6E43"/>
      <name val="Arial"/>
      <family val="2"/>
    </font>
    <font>
      <i/>
      <sz val="11"/>
      <color rgb="FF000000"/>
      <name val="Arial"/>
      <family val="2"/>
    </font>
    <font>
      <sz val="11"/>
      <color theme="0"/>
      <name val="Arial"/>
      <family val="2"/>
    </font>
    <font>
      <b/>
      <sz val="12"/>
      <color theme="1"/>
      <name val="Aptos Narrow"/>
      <family val="2"/>
      <scheme val="minor"/>
    </font>
    <font>
      <i/>
      <sz val="11"/>
      <name val="Arial"/>
      <family val="2"/>
    </font>
    <font>
      <b/>
      <sz val="11"/>
      <color rgb="FF111827"/>
      <name val="Arial"/>
      <family val="2"/>
    </font>
    <font>
      <sz val="11"/>
      <color rgb="FF111827"/>
      <name val="Arial"/>
      <family val="2"/>
    </font>
    <font>
      <u/>
      <sz val="11"/>
      <color rgb="FF111827"/>
      <name val="Arial"/>
      <family val="2"/>
    </font>
    <font>
      <sz val="11"/>
      <color rgb="FF374151"/>
      <name val="Arial"/>
      <family val="2"/>
    </font>
    <font>
      <u/>
      <sz val="11"/>
      <color rgb="FF0000FF"/>
      <name val="Arial"/>
      <family val="2"/>
    </font>
    <font>
      <b/>
      <sz val="16"/>
      <color rgb="FF153D64"/>
      <name val="Arial"/>
      <family val="2"/>
    </font>
    <font>
      <b/>
      <sz val="12"/>
      <color rgb="FFFFFFFF"/>
      <name val="Arial"/>
      <family val="2"/>
    </font>
    <font>
      <b/>
      <sz val="11"/>
      <color rgb="FF153D64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sz val="11"/>
      <color rgb="FF008F00"/>
      <name val="Arial"/>
      <family val="2"/>
    </font>
    <font>
      <b/>
      <sz val="11"/>
      <color rgb="FFFF0000"/>
      <name val="Arial"/>
      <family val="2"/>
    </font>
    <font>
      <i/>
      <sz val="11"/>
      <color rgb="FF7030A0"/>
      <name val="Arial"/>
      <family val="2"/>
    </font>
    <font>
      <b/>
      <sz val="11"/>
      <color rgb="FF008F00"/>
      <name val="Arial"/>
      <family val="2"/>
    </font>
    <font>
      <b/>
      <sz val="11"/>
      <name val="Arial"/>
      <family val="2"/>
    </font>
    <font>
      <b/>
      <i/>
      <sz val="11"/>
      <color rgb="FFFF0000"/>
      <name val="Arial"/>
      <family val="2"/>
    </font>
    <font>
      <sz val="11"/>
      <color rgb="FF7030A0"/>
      <name val="Arial"/>
      <family val="2"/>
    </font>
    <font>
      <sz val="11"/>
      <color rgb="FFFF0000"/>
      <name val="Arial"/>
      <family val="2"/>
    </font>
    <font>
      <i/>
      <sz val="11"/>
      <color rgb="FF808080"/>
      <name val="Arial"/>
      <family val="2"/>
    </font>
    <font>
      <i/>
      <sz val="9"/>
      <color rgb="FF808080"/>
      <name val="Arial"/>
      <family val="2"/>
    </font>
    <font>
      <i/>
      <u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rgb="FF7030A0"/>
      <name val="Arial"/>
      <family val="2"/>
    </font>
    <font>
      <b/>
      <u/>
      <sz val="11"/>
      <color rgb="FF000000"/>
      <name val="Arial"/>
      <family val="2"/>
    </font>
    <font>
      <b/>
      <sz val="11"/>
      <color rgb="FF008000"/>
      <name val="Arial"/>
      <family val="2"/>
    </font>
    <font>
      <i/>
      <sz val="11"/>
      <color theme="0" tint="-4.9989318521683403E-2"/>
      <name val="Arial"/>
      <family val="2"/>
    </font>
    <font>
      <u/>
      <sz val="11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2"/>
      <color rgb="FF000000"/>
      <name val="Aptos Narrow"/>
      <family val="2"/>
    </font>
    <font>
      <b/>
      <sz val="11"/>
      <color rgb="FF808080"/>
      <name val="Arial"/>
      <family val="2"/>
    </font>
    <font>
      <sz val="11"/>
      <color theme="1"/>
      <name val="Aptos Narrow"/>
      <family val="2"/>
      <scheme val="minor"/>
    </font>
    <font>
      <b/>
      <i/>
      <sz val="11"/>
      <color rgb="FF808080"/>
      <name val="Arial"/>
      <family val="2"/>
    </font>
    <font>
      <i/>
      <sz val="12"/>
      <color theme="1"/>
      <name val="Aptos Narrow"/>
      <family val="2"/>
      <scheme val="minor"/>
    </font>
    <font>
      <i/>
      <sz val="12"/>
      <color rgb="FF008000"/>
      <name val="Aptos Narrow"/>
      <family val="2"/>
      <scheme val="minor"/>
    </font>
    <font>
      <i/>
      <sz val="12"/>
      <color rgb="FF7030A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rgb="FF153D6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8F9FA"/>
        <bgColor rgb="FFF8F9FA"/>
      </patternFill>
    </fill>
    <fill>
      <patternFill patternType="solid">
        <fgColor rgb="FFF1F3F4"/>
        <bgColor rgb="FFF1F3F4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BE2D5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ck">
        <color rgb="FF1F6E43"/>
      </left>
      <right style="thick">
        <color rgb="FF1F6E43"/>
      </right>
      <top style="thick">
        <color rgb="FF1F6E43"/>
      </top>
      <bottom style="thick">
        <color rgb="FF1F6E43"/>
      </bottom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153D64"/>
      </bottom>
      <diagonal/>
    </border>
    <border>
      <left style="thin">
        <color rgb="FFE5E7EB"/>
      </left>
      <right style="thin">
        <color rgb="FFE5E7EB"/>
      </right>
      <top/>
      <bottom style="thin">
        <color rgb="FFE5E7EB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153D64"/>
      </bottom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153D64"/>
      </bottom>
      <diagonal/>
    </border>
    <border>
      <left/>
      <right/>
      <top style="thick">
        <color rgb="FF1F6E43"/>
      </top>
      <bottom style="thick">
        <color rgb="FF1F6E43"/>
      </bottom>
      <diagonal/>
    </border>
    <border>
      <left style="thick">
        <color rgb="FF1F6E43"/>
      </left>
      <right/>
      <top style="thick">
        <color rgb="FF1F6E43"/>
      </top>
      <bottom style="thick">
        <color rgb="FF1F6E43"/>
      </bottom>
      <diagonal/>
    </border>
    <border>
      <left/>
      <right style="thick">
        <color rgb="FF1F6E43"/>
      </right>
      <top style="thick">
        <color rgb="FF1F6E43"/>
      </top>
      <bottom style="thick">
        <color rgb="FF1F6E43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16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2" xfId="0" applyFont="1" applyBorder="1"/>
    <xf numFmtId="0" fontId="13" fillId="3" borderId="0" xfId="0" applyFont="1" applyFill="1"/>
    <xf numFmtId="0" fontId="6" fillId="3" borderId="0" xfId="0" applyFont="1" applyFill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2" borderId="0" xfId="0" applyFont="1" applyFill="1" applyAlignment="1">
      <alignment horizontal="centerContinuous" vertical="center"/>
    </xf>
    <xf numFmtId="0" fontId="4" fillId="0" borderId="0" xfId="0" applyFont="1" applyAlignment="1">
      <alignment vertical="center"/>
    </xf>
    <xf numFmtId="49" fontId="5" fillId="0" borderId="2" xfId="0" applyNumberFormat="1" applyFont="1" applyBorder="1" applyAlignment="1">
      <alignment horizontal="center" vertical="center"/>
    </xf>
    <xf numFmtId="165" fontId="5" fillId="0" borderId="0" xfId="0" applyNumberFormat="1" applyFont="1" applyAlignment="1">
      <alignment vertical="center"/>
    </xf>
    <xf numFmtId="165" fontId="9" fillId="0" borderId="0" xfId="0" applyNumberFormat="1" applyFont="1" applyAlignment="1">
      <alignment vertical="center"/>
    </xf>
    <xf numFmtId="166" fontId="10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vertical="center"/>
    </xf>
    <xf numFmtId="0" fontId="6" fillId="0" borderId="2" xfId="0" applyFont="1" applyBorder="1" applyAlignment="1">
      <alignment vertical="center"/>
    </xf>
    <xf numFmtId="165" fontId="5" fillId="0" borderId="1" xfId="0" applyNumberFormat="1" applyFont="1" applyBorder="1" applyAlignment="1">
      <alignment vertical="center"/>
    </xf>
    <xf numFmtId="166" fontId="10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0" applyNumberFormat="1" applyFont="1" applyAlignment="1">
      <alignment vertical="center"/>
    </xf>
    <xf numFmtId="0" fontId="5" fillId="0" borderId="1" xfId="0" applyFont="1" applyBorder="1" applyAlignment="1">
      <alignment vertical="center"/>
    </xf>
    <xf numFmtId="169" fontId="12" fillId="0" borderId="0" xfId="0" applyNumberFormat="1" applyFont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170" fontId="12" fillId="0" borderId="0" xfId="0" applyNumberFormat="1" applyFont="1" applyAlignment="1">
      <alignment vertical="center"/>
    </xf>
    <xf numFmtId="3" fontId="12" fillId="0" borderId="0" xfId="0" applyNumberFormat="1" applyFont="1" applyAlignment="1">
      <alignment vertical="center"/>
    </xf>
    <xf numFmtId="0" fontId="6" fillId="0" borderId="1" xfId="0" applyFont="1" applyBorder="1" applyAlignment="1">
      <alignment vertical="center"/>
    </xf>
    <xf numFmtId="170" fontId="6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12" fillId="4" borderId="0" xfId="0" applyNumberFormat="1" applyFont="1" applyFill="1" applyAlignment="1">
      <alignment vertical="center"/>
    </xf>
    <xf numFmtId="171" fontId="12" fillId="0" borderId="0" xfId="0" applyNumberFormat="1" applyFont="1" applyAlignment="1">
      <alignment vertical="center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172" fontId="14" fillId="0" borderId="1" xfId="0" applyNumberFormat="1" applyFont="1" applyBorder="1" applyAlignment="1">
      <alignment horizontal="center" vertical="center"/>
    </xf>
    <xf numFmtId="170" fontId="14" fillId="0" borderId="1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172" fontId="14" fillId="0" borderId="0" xfId="0" applyNumberFormat="1" applyFont="1" applyAlignment="1">
      <alignment horizontal="center" vertical="center"/>
    </xf>
    <xf numFmtId="170" fontId="14" fillId="0" borderId="0" xfId="0" applyNumberFormat="1" applyFont="1" applyAlignment="1">
      <alignment horizontal="center" vertical="center"/>
    </xf>
    <xf numFmtId="3" fontId="14" fillId="9" borderId="0" xfId="0" applyNumberFormat="1" applyFont="1" applyFill="1" applyAlignment="1">
      <alignment horizontal="center" vertical="center"/>
    </xf>
    <xf numFmtId="172" fontId="14" fillId="9" borderId="0" xfId="0" applyNumberFormat="1" applyFont="1" applyFill="1" applyAlignment="1">
      <alignment horizontal="center" vertical="center"/>
    </xf>
    <xf numFmtId="170" fontId="14" fillId="9" borderId="0" xfId="0" applyNumberFormat="1" applyFont="1" applyFill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170" fontId="14" fillId="0" borderId="0" xfId="0" applyNumberFormat="1" applyFont="1" applyAlignment="1">
      <alignment vertical="center"/>
    </xf>
    <xf numFmtId="170" fontId="6" fillId="0" borderId="0" xfId="0" applyNumberFormat="1" applyFont="1" applyAlignment="1">
      <alignment vertical="center"/>
    </xf>
    <xf numFmtId="173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171" fontId="5" fillId="0" borderId="0" xfId="0" applyNumberFormat="1" applyFont="1" applyAlignment="1">
      <alignment horizontal="center" vertical="center"/>
    </xf>
    <xf numFmtId="174" fontId="5" fillId="0" borderId="0" xfId="0" applyNumberFormat="1" applyFont="1" applyAlignment="1">
      <alignment horizontal="center" vertical="center"/>
    </xf>
    <xf numFmtId="173" fontId="6" fillId="0" borderId="0" xfId="0" applyNumberFormat="1" applyFont="1" applyAlignment="1">
      <alignment horizontal="center" vertical="center"/>
    </xf>
    <xf numFmtId="173" fontId="6" fillId="0" borderId="3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75" fontId="9" fillId="0" borderId="0" xfId="0" applyNumberFormat="1" applyFont="1" applyAlignment="1">
      <alignment vertical="center"/>
    </xf>
    <xf numFmtId="176" fontId="12" fillId="0" borderId="0" xfId="0" applyNumberFormat="1" applyFont="1" applyAlignment="1">
      <alignment vertical="center"/>
    </xf>
    <xf numFmtId="175" fontId="4" fillId="0" borderId="6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0" fontId="17" fillId="2" borderId="0" xfId="0" applyFont="1" applyFill="1" applyAlignment="1">
      <alignment horizontal="centerContinuous" vertical="center"/>
    </xf>
    <xf numFmtId="0" fontId="5" fillId="5" borderId="1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165" fontId="5" fillId="5" borderId="0" xfId="0" applyNumberFormat="1" applyFont="1" applyFill="1" applyAlignment="1">
      <alignment vertical="center"/>
    </xf>
    <xf numFmtId="168" fontId="6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 indent="1"/>
    </xf>
    <xf numFmtId="166" fontId="19" fillId="0" borderId="0" xfId="0" applyNumberFormat="1" applyFont="1" applyAlignment="1">
      <alignment vertical="center"/>
    </xf>
    <xf numFmtId="0" fontId="6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20" fillId="6" borderId="4" xfId="2" applyFont="1" applyFill="1" applyBorder="1" applyAlignment="1">
      <alignment vertical="center"/>
    </xf>
    <xf numFmtId="0" fontId="21" fillId="0" borderId="4" xfId="2" applyFont="1" applyBorder="1" applyAlignment="1">
      <alignment vertical="center"/>
    </xf>
    <xf numFmtId="3" fontId="21" fillId="8" borderId="4" xfId="2" applyNumberFormat="1" applyFont="1" applyFill="1" applyBorder="1" applyAlignment="1">
      <alignment vertical="center"/>
    </xf>
    <xf numFmtId="178" fontId="21" fillId="8" borderId="4" xfId="2" applyNumberFormat="1" applyFont="1" applyFill="1" applyBorder="1" applyAlignment="1">
      <alignment vertical="center"/>
    </xf>
    <xf numFmtId="179" fontId="21" fillId="8" borderId="4" xfId="2" applyNumberFormat="1" applyFont="1" applyFill="1" applyBorder="1" applyAlignment="1">
      <alignment vertical="center"/>
    </xf>
    <xf numFmtId="180" fontId="21" fillId="8" borderId="4" xfId="2" applyNumberFormat="1" applyFont="1" applyFill="1" applyBorder="1" applyAlignment="1">
      <alignment vertical="center"/>
    </xf>
    <xf numFmtId="181" fontId="21" fillId="8" borderId="4" xfId="2" applyNumberFormat="1" applyFont="1" applyFill="1" applyBorder="1" applyAlignment="1">
      <alignment vertical="center"/>
    </xf>
    <xf numFmtId="3" fontId="21" fillId="0" borderId="4" xfId="2" applyNumberFormat="1" applyFont="1" applyBorder="1" applyAlignment="1">
      <alignment vertical="center"/>
    </xf>
    <xf numFmtId="178" fontId="21" fillId="0" borderId="4" xfId="2" applyNumberFormat="1" applyFont="1" applyBorder="1" applyAlignment="1">
      <alignment vertical="center"/>
    </xf>
    <xf numFmtId="182" fontId="21" fillId="0" borderId="4" xfId="2" applyNumberFormat="1" applyFont="1" applyBorder="1" applyAlignment="1">
      <alignment vertical="center"/>
    </xf>
    <xf numFmtId="181" fontId="21" fillId="0" borderId="4" xfId="2" applyNumberFormat="1" applyFont="1" applyBorder="1" applyAlignment="1">
      <alignment vertical="center"/>
    </xf>
    <xf numFmtId="0" fontId="20" fillId="7" borderId="4" xfId="2" applyFont="1" applyFill="1" applyBorder="1" applyAlignment="1">
      <alignment vertical="center"/>
    </xf>
    <xf numFmtId="179" fontId="21" fillId="0" borderId="4" xfId="2" applyNumberFormat="1" applyFont="1" applyBorder="1" applyAlignment="1">
      <alignment vertical="center"/>
    </xf>
    <xf numFmtId="183" fontId="21" fillId="0" borderId="4" xfId="2" applyNumberFormat="1" applyFont="1" applyBorder="1" applyAlignment="1">
      <alignment vertical="center"/>
    </xf>
    <xf numFmtId="180" fontId="23" fillId="0" borderId="4" xfId="2" applyNumberFormat="1" applyFont="1" applyBorder="1" applyAlignment="1">
      <alignment vertical="center" wrapText="1"/>
    </xf>
    <xf numFmtId="184" fontId="23" fillId="0" borderId="4" xfId="2" applyNumberFormat="1" applyFont="1" applyBorder="1" applyAlignment="1">
      <alignment vertical="center" wrapText="1"/>
    </xf>
    <xf numFmtId="178" fontId="6" fillId="0" borderId="0" xfId="2" applyNumberFormat="1" applyFont="1" applyAlignment="1">
      <alignment vertical="center"/>
    </xf>
    <xf numFmtId="9" fontId="6" fillId="0" borderId="0" xfId="2" applyNumberFormat="1" applyFont="1" applyAlignment="1">
      <alignment vertical="center"/>
    </xf>
    <xf numFmtId="181" fontId="6" fillId="0" borderId="0" xfId="2" applyNumberFormat="1" applyFont="1" applyAlignment="1">
      <alignment vertical="center"/>
    </xf>
    <xf numFmtId="4" fontId="21" fillId="0" borderId="4" xfId="2" applyNumberFormat="1" applyFont="1" applyBorder="1" applyAlignment="1">
      <alignment vertical="center"/>
    </xf>
    <xf numFmtId="185" fontId="21" fillId="0" borderId="4" xfId="2" applyNumberFormat="1" applyFont="1" applyBorder="1" applyAlignment="1">
      <alignment vertical="center"/>
    </xf>
    <xf numFmtId="0" fontId="24" fillId="0" borderId="0" xfId="2" applyFont="1" applyAlignment="1">
      <alignment vertical="center"/>
    </xf>
    <xf numFmtId="0" fontId="25" fillId="0" borderId="0" xfId="0" applyFont="1"/>
    <xf numFmtId="0" fontId="26" fillId="3" borderId="0" xfId="0" applyFont="1" applyFill="1"/>
    <xf numFmtId="3" fontId="21" fillId="8" borderId="7" xfId="2" applyNumberFormat="1" applyFont="1" applyFill="1" applyBorder="1" applyAlignment="1">
      <alignment vertical="center" wrapText="1"/>
    </xf>
    <xf numFmtId="0" fontId="21" fillId="8" borderId="7" xfId="2" applyFont="1" applyFill="1" applyBorder="1" applyAlignment="1">
      <alignment vertical="center" wrapText="1"/>
    </xf>
    <xf numFmtId="179" fontId="21" fillId="8" borderId="7" xfId="2" applyNumberFormat="1" applyFont="1" applyFill="1" applyBorder="1" applyAlignment="1">
      <alignment vertical="center" wrapText="1"/>
    </xf>
    <xf numFmtId="180" fontId="21" fillId="8" borderId="7" xfId="2" applyNumberFormat="1" applyFont="1" applyFill="1" applyBorder="1" applyAlignment="1">
      <alignment vertical="center" wrapText="1"/>
    </xf>
    <xf numFmtId="181" fontId="21" fillId="8" borderId="7" xfId="2" applyNumberFormat="1" applyFont="1" applyFill="1" applyBorder="1" applyAlignment="1">
      <alignment vertical="center" wrapText="1"/>
    </xf>
    <xf numFmtId="0" fontId="20" fillId="10" borderId="8" xfId="2" applyFont="1" applyFill="1" applyBorder="1" applyAlignment="1">
      <alignment vertical="top" wrapText="1"/>
    </xf>
    <xf numFmtId="0" fontId="21" fillId="0" borderId="9" xfId="2" applyFont="1" applyBorder="1" applyAlignment="1">
      <alignment vertical="center"/>
    </xf>
    <xf numFmtId="3" fontId="21" fillId="0" borderId="9" xfId="2" applyNumberFormat="1" applyFont="1" applyBorder="1" applyAlignment="1">
      <alignment vertical="center"/>
    </xf>
    <xf numFmtId="178" fontId="21" fillId="0" borderId="9" xfId="2" applyNumberFormat="1" applyFont="1" applyBorder="1" applyAlignment="1">
      <alignment vertical="center"/>
    </xf>
    <xf numFmtId="179" fontId="21" fillId="0" borderId="9" xfId="2" applyNumberFormat="1" applyFont="1" applyBorder="1" applyAlignment="1">
      <alignment vertical="center"/>
    </xf>
    <xf numFmtId="183" fontId="21" fillId="0" borderId="9" xfId="2" applyNumberFormat="1" applyFont="1" applyBorder="1" applyAlignment="1">
      <alignment vertical="center"/>
    </xf>
    <xf numFmtId="182" fontId="21" fillId="0" borderId="9" xfId="2" applyNumberFormat="1" applyFont="1" applyBorder="1" applyAlignment="1">
      <alignment vertical="center"/>
    </xf>
    <xf numFmtId="180" fontId="23" fillId="0" borderId="9" xfId="2" applyNumberFormat="1" applyFont="1" applyBorder="1" applyAlignment="1">
      <alignment vertical="center" wrapText="1"/>
    </xf>
    <xf numFmtId="184" fontId="23" fillId="0" borderId="9" xfId="2" applyNumberFormat="1" applyFont="1" applyBorder="1" applyAlignment="1">
      <alignment vertical="center" wrapText="1"/>
    </xf>
    <xf numFmtId="0" fontId="20" fillId="10" borderId="10" xfId="2" applyFont="1" applyFill="1" applyBorder="1" applyAlignment="1">
      <alignment vertical="top" wrapText="1"/>
    </xf>
    <xf numFmtId="4" fontId="21" fillId="0" borderId="9" xfId="2" applyNumberFormat="1" applyFont="1" applyBorder="1" applyAlignment="1">
      <alignment vertical="center"/>
    </xf>
    <xf numFmtId="185" fontId="21" fillId="0" borderId="9" xfId="2" applyNumberFormat="1" applyFont="1" applyBorder="1" applyAlignment="1">
      <alignment vertical="center"/>
    </xf>
    <xf numFmtId="0" fontId="20" fillId="10" borderId="11" xfId="2" applyFont="1" applyFill="1" applyBorder="1" applyAlignment="1">
      <alignment vertical="top" wrapText="1"/>
    </xf>
    <xf numFmtId="0" fontId="6" fillId="0" borderId="0" xfId="2" applyFont="1" applyAlignment="1">
      <alignment vertical="top" wrapText="1"/>
    </xf>
    <xf numFmtId="0" fontId="20" fillId="6" borderId="0" xfId="2" applyFont="1" applyFill="1" applyAlignment="1">
      <alignment vertical="center"/>
    </xf>
    <xf numFmtId="0" fontId="21" fillId="0" borderId="0" xfId="2" applyFont="1" applyAlignment="1">
      <alignment vertical="top" wrapText="1"/>
    </xf>
    <xf numFmtId="0" fontId="3" fillId="0" borderId="0" xfId="0" applyFont="1"/>
    <xf numFmtId="0" fontId="27" fillId="0" borderId="0" xfId="0" applyFont="1"/>
    <xf numFmtId="186" fontId="12" fillId="0" borderId="0" xfId="0" applyNumberFormat="1" applyFont="1" applyAlignment="1">
      <alignment vertical="center"/>
    </xf>
    <xf numFmtId="186" fontId="6" fillId="0" borderId="0" xfId="0" applyNumberFormat="1" applyFont="1" applyAlignment="1">
      <alignment vertical="center"/>
    </xf>
    <xf numFmtId="186" fontId="3" fillId="0" borderId="0" xfId="0" applyNumberFormat="1" applyFont="1" applyAlignment="1">
      <alignment vertical="center"/>
    </xf>
    <xf numFmtId="186" fontId="5" fillId="0" borderId="0" xfId="0" applyNumberFormat="1" applyFont="1" applyAlignment="1">
      <alignment vertical="center"/>
    </xf>
    <xf numFmtId="186" fontId="4" fillId="0" borderId="0" xfId="0" applyNumberFormat="1" applyFont="1" applyAlignment="1">
      <alignment vertical="center"/>
    </xf>
    <xf numFmtId="187" fontId="9" fillId="5" borderId="0" xfId="0" applyNumberFormat="1" applyFont="1" applyFill="1" applyAlignment="1">
      <alignment vertical="center"/>
    </xf>
    <xf numFmtId="187" fontId="5" fillId="5" borderId="0" xfId="0" applyNumberFormat="1" applyFont="1" applyFill="1" applyAlignment="1">
      <alignment vertical="center"/>
    </xf>
    <xf numFmtId="187" fontId="4" fillId="5" borderId="0" xfId="0" applyNumberFormat="1" applyFont="1" applyFill="1" applyAlignment="1">
      <alignment vertical="center"/>
    </xf>
    <xf numFmtId="187" fontId="4" fillId="0" borderId="1" xfId="0" applyNumberFormat="1" applyFont="1" applyBorder="1" applyAlignment="1">
      <alignment vertical="center"/>
    </xf>
    <xf numFmtId="187" fontId="5" fillId="0" borderId="0" xfId="0" applyNumberFormat="1" applyFont="1" applyAlignment="1">
      <alignment vertical="center"/>
    </xf>
    <xf numFmtId="187" fontId="4" fillId="0" borderId="0" xfId="0" applyNumberFormat="1" applyFont="1" applyAlignment="1">
      <alignment vertical="center"/>
    </xf>
    <xf numFmtId="187" fontId="4" fillId="5" borderId="1" xfId="0" applyNumberFormat="1" applyFont="1" applyFill="1" applyBorder="1" applyAlignment="1">
      <alignment vertical="center"/>
    </xf>
    <xf numFmtId="0" fontId="5" fillId="10" borderId="0" xfId="0" applyFont="1" applyFill="1" applyAlignment="1">
      <alignment vertical="center"/>
    </xf>
    <xf numFmtId="9" fontId="6" fillId="0" borderId="0" xfId="0" applyNumberFormat="1" applyFont="1" applyAlignment="1">
      <alignment horizontal="center" vertical="center"/>
    </xf>
    <xf numFmtId="0" fontId="6" fillId="10" borderId="0" xfId="0" applyFont="1" applyFill="1" applyAlignment="1">
      <alignment vertical="center"/>
    </xf>
    <xf numFmtId="169" fontId="3" fillId="0" borderId="0" xfId="0" applyNumberFormat="1" applyFont="1" applyAlignment="1">
      <alignment vertical="center"/>
    </xf>
    <xf numFmtId="169" fontId="6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88" fontId="5" fillId="0" borderId="0" xfId="0" applyNumberFormat="1" applyFont="1" applyAlignment="1">
      <alignment horizontal="center" vertical="center"/>
    </xf>
    <xf numFmtId="173" fontId="6" fillId="0" borderId="12" xfId="0" applyNumberFormat="1" applyFont="1" applyBorder="1" applyAlignment="1">
      <alignment horizontal="center" vertical="center"/>
    </xf>
    <xf numFmtId="188" fontId="5" fillId="0" borderId="13" xfId="0" applyNumberFormat="1" applyFont="1" applyBorder="1" applyAlignment="1">
      <alignment horizontal="center" vertical="center"/>
    </xf>
    <xf numFmtId="173" fontId="6" fillId="0" borderId="14" xfId="0" applyNumberFormat="1" applyFont="1" applyBorder="1" applyAlignment="1">
      <alignment horizontal="center" vertical="center"/>
    </xf>
    <xf numFmtId="173" fontId="10" fillId="0" borderId="0" xfId="0" applyNumberFormat="1" applyFont="1" applyAlignment="1">
      <alignment horizontal="center" vertical="center"/>
    </xf>
    <xf numFmtId="0" fontId="13" fillId="3" borderId="0" xfId="0" applyFont="1" applyFill="1" applyAlignment="1">
      <alignment horizontal="center"/>
    </xf>
    <xf numFmtId="169" fontId="6" fillId="0" borderId="0" xfId="0" applyNumberFormat="1" applyFont="1" applyAlignment="1">
      <alignment horizontal="center"/>
    </xf>
    <xf numFmtId="0" fontId="13" fillId="3" borderId="0" xfId="0" applyFont="1" applyFill="1" applyAlignment="1">
      <alignment horizontal="center" wrapText="1"/>
    </xf>
    <xf numFmtId="189" fontId="12" fillId="0" borderId="0" xfId="0" applyNumberFormat="1" applyFont="1" applyAlignment="1">
      <alignment vertical="center"/>
    </xf>
    <xf numFmtId="189" fontId="28" fillId="0" borderId="0" xfId="0" applyNumberFormat="1" applyFont="1" applyAlignment="1">
      <alignment vertical="center"/>
    </xf>
    <xf numFmtId="189" fontId="12" fillId="0" borderId="2" xfId="0" applyNumberFormat="1" applyFont="1" applyBorder="1" applyAlignment="1">
      <alignment vertical="center"/>
    </xf>
    <xf numFmtId="0" fontId="29" fillId="0" borderId="0" xfId="1" applyFont="1"/>
    <xf numFmtId="0" fontId="6" fillId="0" borderId="0" xfId="0" applyFont="1" applyAlignment="1">
      <alignment horizontal="left" vertical="center" indent="1"/>
    </xf>
    <xf numFmtId="0" fontId="5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Continuous" vertical="center"/>
    </xf>
    <xf numFmtId="190" fontId="6" fillId="0" borderId="0" xfId="0" applyNumberFormat="1" applyFont="1" applyAlignment="1">
      <alignment horizontal="center" vertical="center"/>
    </xf>
    <xf numFmtId="174" fontId="6" fillId="0" borderId="0" xfId="0" applyNumberFormat="1" applyFont="1" applyAlignment="1">
      <alignment horizontal="center" vertical="center"/>
    </xf>
    <xf numFmtId="165" fontId="9" fillId="5" borderId="0" xfId="0" applyNumberFormat="1" applyFont="1" applyFill="1" applyAlignment="1">
      <alignment vertical="center"/>
    </xf>
    <xf numFmtId="191" fontId="12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right" vertical="center"/>
    </xf>
    <xf numFmtId="0" fontId="31" fillId="0" borderId="0" xfId="0" applyFont="1" applyAlignment="1">
      <alignment vertical="center"/>
    </xf>
    <xf numFmtId="0" fontId="6" fillId="11" borderId="0" xfId="0" applyFont="1" applyFill="1" applyAlignment="1">
      <alignment vertical="center"/>
    </xf>
    <xf numFmtId="165" fontId="28" fillId="0" borderId="0" xfId="0" applyNumberFormat="1" applyFont="1" applyAlignment="1">
      <alignment vertical="center"/>
    </xf>
    <xf numFmtId="165" fontId="5" fillId="5" borderId="1" xfId="0" applyNumberFormat="1" applyFont="1" applyFill="1" applyBorder="1" applyAlignment="1">
      <alignment vertical="center"/>
    </xf>
    <xf numFmtId="168" fontId="11" fillId="0" borderId="0" xfId="0" applyNumberFormat="1" applyFont="1" applyAlignment="1">
      <alignment vertical="center"/>
    </xf>
    <xf numFmtId="165" fontId="9" fillId="5" borderId="18" xfId="0" applyNumberFormat="1" applyFont="1" applyFill="1" applyBorder="1" applyAlignment="1">
      <alignment vertical="center"/>
    </xf>
    <xf numFmtId="166" fontId="19" fillId="11" borderId="0" xfId="0" applyNumberFormat="1" applyFont="1" applyFill="1" applyAlignment="1">
      <alignment vertical="center"/>
    </xf>
    <xf numFmtId="1" fontId="4" fillId="0" borderId="5" xfId="0" applyNumberFormat="1" applyFont="1" applyBorder="1" applyAlignment="1">
      <alignment horizontal="centerContinuous" vertical="center"/>
    </xf>
    <xf numFmtId="0" fontId="4" fillId="0" borderId="1" xfId="0" applyFont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175" fontId="4" fillId="5" borderId="1" xfId="0" applyNumberFormat="1" applyFont="1" applyFill="1" applyBorder="1" applyAlignment="1">
      <alignment vertical="center"/>
    </xf>
    <xf numFmtId="175" fontId="4" fillId="5" borderId="6" xfId="0" applyNumberFormat="1" applyFont="1" applyFill="1" applyBorder="1" applyAlignment="1">
      <alignment vertical="center"/>
    </xf>
    <xf numFmtId="165" fontId="4" fillId="5" borderId="1" xfId="0" applyNumberFormat="1" applyFont="1" applyFill="1" applyBorder="1" applyAlignment="1">
      <alignment vertical="center"/>
    </xf>
    <xf numFmtId="0" fontId="6" fillId="5" borderId="0" xfId="0" applyFont="1" applyFill="1" applyAlignment="1">
      <alignment vertical="center"/>
    </xf>
    <xf numFmtId="165" fontId="33" fillId="5" borderId="0" xfId="0" applyNumberFormat="1" applyFont="1" applyFill="1" applyAlignment="1">
      <alignment vertical="center"/>
    </xf>
    <xf numFmtId="165" fontId="4" fillId="5" borderId="0" xfId="0" applyNumberFormat="1" applyFont="1" applyFill="1" applyAlignment="1">
      <alignment vertical="center"/>
    </xf>
    <xf numFmtId="0" fontId="5" fillId="5" borderId="18" xfId="0" applyFont="1" applyFill="1" applyBorder="1" applyAlignment="1">
      <alignment vertical="center"/>
    </xf>
    <xf numFmtId="0" fontId="35" fillId="0" borderId="0" xfId="0" applyFont="1" applyAlignment="1">
      <alignment vertical="center"/>
    </xf>
    <xf numFmtId="168" fontId="28" fillId="0" borderId="0" xfId="0" applyNumberFormat="1" applyFont="1" applyAlignment="1">
      <alignment vertical="center"/>
    </xf>
    <xf numFmtId="168" fontId="6" fillId="0" borderId="2" xfId="0" applyNumberFormat="1" applyFont="1" applyBorder="1" applyAlignment="1">
      <alignment vertical="center"/>
    </xf>
    <xf numFmtId="165" fontId="31" fillId="0" borderId="1" xfId="0" applyNumberFormat="1" applyFont="1" applyBorder="1" applyAlignment="1">
      <alignment vertical="center"/>
    </xf>
    <xf numFmtId="165" fontId="37" fillId="0" borderId="0" xfId="0" applyNumberFormat="1" applyFont="1" applyAlignment="1">
      <alignment vertical="center"/>
    </xf>
    <xf numFmtId="168" fontId="37" fillId="0" borderId="0" xfId="0" applyNumberFormat="1" applyFont="1" applyAlignment="1">
      <alignment vertical="center"/>
    </xf>
    <xf numFmtId="169" fontId="9" fillId="0" borderId="0" xfId="0" applyNumberFormat="1" applyFont="1" applyAlignment="1">
      <alignment horizontal="center" vertical="center"/>
    </xf>
    <xf numFmtId="49" fontId="38" fillId="0" borderId="0" xfId="0" applyNumberFormat="1" applyFont="1" applyAlignment="1">
      <alignment horizontal="center" vertical="center"/>
    </xf>
    <xf numFmtId="169" fontId="10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/>
    </xf>
    <xf numFmtId="171" fontId="10" fillId="0" borderId="0" xfId="0" applyNumberFormat="1" applyFont="1" applyAlignment="1">
      <alignment horizontal="center" vertical="center"/>
    </xf>
    <xf numFmtId="0" fontId="5" fillId="10" borderId="5" xfId="0" applyFont="1" applyFill="1" applyBorder="1" applyAlignment="1">
      <alignment vertical="center"/>
    </xf>
    <xf numFmtId="49" fontId="5" fillId="1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193" fontId="6" fillId="0" borderId="6" xfId="0" applyNumberFormat="1" applyFont="1" applyBorder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170" fontId="10" fillId="0" borderId="0" xfId="0" applyNumberFormat="1" applyFont="1" applyAlignment="1">
      <alignment vertical="center"/>
    </xf>
    <xf numFmtId="165" fontId="30" fillId="0" borderId="0" xfId="0" applyNumberFormat="1" applyFont="1" applyAlignment="1">
      <alignment vertical="center"/>
    </xf>
    <xf numFmtId="165" fontId="36" fillId="0" borderId="0" xfId="0" applyNumberFormat="1" applyFont="1" applyAlignment="1">
      <alignment vertical="center"/>
    </xf>
    <xf numFmtId="176" fontId="6" fillId="0" borderId="0" xfId="0" applyNumberFormat="1" applyFont="1" applyAlignment="1">
      <alignment vertical="center"/>
    </xf>
    <xf numFmtId="176" fontId="36" fillId="0" borderId="0" xfId="0" applyNumberFormat="1" applyFont="1" applyAlignment="1">
      <alignment vertical="center"/>
    </xf>
    <xf numFmtId="176" fontId="12" fillId="0" borderId="2" xfId="0" applyNumberFormat="1" applyFont="1" applyBorder="1" applyAlignment="1">
      <alignment vertical="center"/>
    </xf>
    <xf numFmtId="176" fontId="6" fillId="0" borderId="2" xfId="0" applyNumberFormat="1" applyFont="1" applyBorder="1" applyAlignment="1">
      <alignment vertical="center"/>
    </xf>
    <xf numFmtId="176" fontId="28" fillId="0" borderId="0" xfId="0" applyNumberFormat="1" applyFont="1" applyAlignment="1">
      <alignment vertical="center"/>
    </xf>
    <xf numFmtId="165" fontId="12" fillId="12" borderId="0" xfId="0" applyNumberFormat="1" applyFont="1" applyFill="1" applyAlignment="1">
      <alignment vertical="center"/>
    </xf>
    <xf numFmtId="176" fontId="11" fillId="0" borderId="0" xfId="0" applyNumberFormat="1" applyFont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0" xfId="0" applyNumberFormat="1" applyFont="1"/>
    <xf numFmtId="176" fontId="12" fillId="0" borderId="0" xfId="0" applyNumberFormat="1" applyFont="1"/>
    <xf numFmtId="0" fontId="5" fillId="10" borderId="0" xfId="0" applyFont="1" applyFill="1"/>
    <xf numFmtId="0" fontId="4" fillId="10" borderId="0" xfId="0" applyFont="1" applyFill="1" applyAlignment="1">
      <alignment vertical="center"/>
    </xf>
    <xf numFmtId="169" fontId="6" fillId="0" borderId="0" xfId="0" applyNumberFormat="1" applyFont="1" applyAlignment="1">
      <alignment vertical="center"/>
    </xf>
    <xf numFmtId="165" fontId="3" fillId="0" borderId="0" xfId="0" applyNumberFormat="1" applyFont="1" applyAlignment="1">
      <alignment vertical="center"/>
    </xf>
    <xf numFmtId="194" fontId="16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0" fontId="6" fillId="0" borderId="0" xfId="0" quotePrefix="1" applyFont="1" applyAlignment="1">
      <alignment vertical="center"/>
    </xf>
    <xf numFmtId="0" fontId="5" fillId="0" borderId="0" xfId="0" quotePrefix="1" applyFont="1" applyAlignment="1">
      <alignment vertical="center"/>
    </xf>
    <xf numFmtId="165" fontId="11" fillId="0" borderId="0" xfId="0" applyNumberFormat="1" applyFont="1" applyAlignment="1">
      <alignment vertical="center"/>
    </xf>
    <xf numFmtId="175" fontId="6" fillId="0" borderId="0" xfId="0" applyNumberFormat="1" applyFont="1" applyAlignment="1">
      <alignment vertical="center"/>
    </xf>
    <xf numFmtId="0" fontId="5" fillId="1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93" fontId="6" fillId="0" borderId="0" xfId="0" applyNumberFormat="1" applyFont="1" applyAlignment="1">
      <alignment horizontal="center"/>
    </xf>
    <xf numFmtId="196" fontId="6" fillId="0" borderId="0" xfId="0" applyNumberFormat="1" applyFont="1" applyAlignment="1">
      <alignment horizontal="center"/>
    </xf>
    <xf numFmtId="168" fontId="30" fillId="0" borderId="0" xfId="0" applyNumberFormat="1" applyFont="1" applyAlignment="1">
      <alignment vertical="center"/>
    </xf>
    <xf numFmtId="165" fontId="34" fillId="5" borderId="18" xfId="0" applyNumberFormat="1" applyFont="1" applyFill="1" applyBorder="1" applyAlignment="1">
      <alignment vertical="center"/>
    </xf>
    <xf numFmtId="166" fontId="11" fillId="0" borderId="0" xfId="0" applyNumberFormat="1" applyFont="1" applyAlignment="1">
      <alignment vertical="center"/>
    </xf>
    <xf numFmtId="176" fontId="4" fillId="11" borderId="0" xfId="0" applyNumberFormat="1" applyFont="1" applyFill="1" applyAlignment="1">
      <alignment vertical="center"/>
    </xf>
    <xf numFmtId="176" fontId="6" fillId="11" borderId="0" xfId="0" applyNumberFormat="1" applyFont="1" applyFill="1" applyAlignment="1">
      <alignment vertical="center"/>
    </xf>
    <xf numFmtId="176" fontId="4" fillId="11" borderId="2" xfId="0" applyNumberFormat="1" applyFont="1" applyFill="1" applyBorder="1" applyAlignment="1">
      <alignment vertical="center"/>
    </xf>
    <xf numFmtId="176" fontId="6" fillId="11" borderId="2" xfId="0" applyNumberFormat="1" applyFont="1" applyFill="1" applyBorder="1" applyAlignment="1">
      <alignment vertical="center"/>
    </xf>
    <xf numFmtId="195" fontId="6" fillId="0" borderId="0" xfId="0" applyNumberFormat="1" applyFont="1" applyAlignment="1">
      <alignment vertical="center"/>
    </xf>
    <xf numFmtId="0" fontId="6" fillId="0" borderId="1" xfId="0" applyFont="1" applyBorder="1"/>
    <xf numFmtId="0" fontId="6" fillId="5" borderId="1" xfId="0" applyFont="1" applyFill="1" applyBorder="1"/>
    <xf numFmtId="0" fontId="38" fillId="0" borderId="0" xfId="0" applyFont="1" applyAlignment="1">
      <alignment vertical="center"/>
    </xf>
    <xf numFmtId="175" fontId="5" fillId="0" borderId="0" xfId="0" applyNumberFormat="1" applyFont="1" applyAlignment="1">
      <alignment vertical="center"/>
    </xf>
    <xf numFmtId="197" fontId="6" fillId="0" borderId="0" xfId="0" applyNumberFormat="1" applyFont="1" applyAlignment="1">
      <alignment vertical="center"/>
    </xf>
    <xf numFmtId="197" fontId="10" fillId="0" borderId="0" xfId="0" applyNumberFormat="1" applyFont="1" applyAlignment="1">
      <alignment vertical="center"/>
    </xf>
    <xf numFmtId="197" fontId="11" fillId="12" borderId="0" xfId="0" applyNumberFormat="1" applyFont="1" applyFill="1" applyAlignment="1">
      <alignment vertical="center"/>
    </xf>
    <xf numFmtId="197" fontId="19" fillId="0" borderId="0" xfId="0" applyNumberFormat="1" applyFont="1" applyAlignment="1">
      <alignment vertical="center"/>
    </xf>
    <xf numFmtId="197" fontId="19" fillId="11" borderId="0" xfId="0" applyNumberFormat="1" applyFont="1" applyFill="1" applyAlignment="1">
      <alignment vertical="center"/>
    </xf>
    <xf numFmtId="197" fontId="11" fillId="0" borderId="0" xfId="0" applyNumberFormat="1" applyFont="1" applyAlignment="1">
      <alignment horizontal="right" vertical="center"/>
    </xf>
    <xf numFmtId="197" fontId="11" fillId="0" borderId="0" xfId="0" applyNumberFormat="1" applyFont="1" applyAlignment="1">
      <alignment vertical="center"/>
    </xf>
    <xf numFmtId="197" fontId="16" fillId="0" borderId="0" xfId="0" applyNumberFormat="1" applyFont="1" applyAlignment="1">
      <alignment vertical="center"/>
    </xf>
    <xf numFmtId="197" fontId="32" fillId="0" borderId="0" xfId="0" applyNumberFormat="1" applyFont="1" applyAlignment="1">
      <alignment vertical="center"/>
    </xf>
    <xf numFmtId="197" fontId="10" fillId="0" borderId="0" xfId="0" applyNumberFormat="1" applyFont="1" applyAlignment="1">
      <alignment horizontal="center" vertical="center"/>
    </xf>
    <xf numFmtId="0" fontId="22" fillId="0" borderId="4" xfId="2" applyFont="1" applyBorder="1" applyAlignment="1">
      <alignment horizontal="centerContinuous" vertical="top" wrapText="1"/>
    </xf>
    <xf numFmtId="0" fontId="3" fillId="0" borderId="0" xfId="2" applyFont="1" applyAlignment="1">
      <alignment horizontal="centerContinuous" vertical="center"/>
    </xf>
    <xf numFmtId="0" fontId="21" fillId="0" borderId="4" xfId="2" applyFont="1" applyBorder="1" applyAlignment="1">
      <alignment horizontal="centerContinuous" vertical="top" wrapText="1"/>
    </xf>
    <xf numFmtId="0" fontId="36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167" fontId="4" fillId="11" borderId="1" xfId="0" applyNumberFormat="1" applyFont="1" applyFill="1" applyBorder="1" applyAlignment="1">
      <alignment vertical="center"/>
    </xf>
    <xf numFmtId="0" fontId="6" fillId="0" borderId="1" xfId="0" quotePrefix="1" applyFont="1" applyBorder="1" applyAlignment="1">
      <alignment vertical="center"/>
    </xf>
    <xf numFmtId="165" fontId="4" fillId="0" borderId="1" xfId="0" applyNumberFormat="1" applyFont="1" applyBorder="1" applyAlignment="1">
      <alignment vertical="center"/>
    </xf>
    <xf numFmtId="186" fontId="3" fillId="0" borderId="0" xfId="0" applyNumberFormat="1" applyFont="1"/>
    <xf numFmtId="198" fontId="3" fillId="0" borderId="0" xfId="0" applyNumberFormat="1" applyFont="1"/>
    <xf numFmtId="198" fontId="3" fillId="0" borderId="0" xfId="0" applyNumberFormat="1" applyFont="1" applyAlignment="1">
      <alignment vertical="center"/>
    </xf>
    <xf numFmtId="199" fontId="3" fillId="0" borderId="0" xfId="0" applyNumberFormat="1" applyFont="1" applyAlignment="1">
      <alignment vertical="center"/>
    </xf>
    <xf numFmtId="186" fontId="12" fillId="0" borderId="0" xfId="0" applyNumberFormat="1" applyFont="1"/>
    <xf numFmtId="200" fontId="12" fillId="0" borderId="0" xfId="0" applyNumberFormat="1" applyFont="1" applyAlignment="1">
      <alignment vertical="center"/>
    </xf>
    <xf numFmtId="0" fontId="4" fillId="10" borderId="0" xfId="0" applyFont="1" applyFill="1"/>
    <xf numFmtId="187" fontId="4" fillId="10" borderId="0" xfId="0" applyNumberFormat="1" applyFont="1" applyFill="1"/>
    <xf numFmtId="187" fontId="4" fillId="10" borderId="0" xfId="0" applyNumberFormat="1" applyFont="1" applyFill="1" applyAlignment="1">
      <alignment vertical="center"/>
    </xf>
    <xf numFmtId="187" fontId="9" fillId="10" borderId="0" xfId="0" applyNumberFormat="1" applyFont="1" applyFill="1"/>
    <xf numFmtId="186" fontId="9" fillId="10" borderId="0" xfId="0" applyNumberFormat="1" applyFont="1" applyFill="1"/>
    <xf numFmtId="186" fontId="4" fillId="10" borderId="0" xfId="0" applyNumberFormat="1" applyFont="1" applyFill="1"/>
    <xf numFmtId="0" fontId="4" fillId="0" borderId="0" xfId="0" applyFont="1"/>
    <xf numFmtId="198" fontId="4" fillId="0" borderId="0" xfId="0" applyNumberFormat="1" applyFont="1" applyAlignment="1">
      <alignment vertical="center"/>
    </xf>
    <xf numFmtId="186" fontId="4" fillId="0" borderId="6" xfId="0" applyNumberFormat="1" applyFont="1" applyBorder="1"/>
    <xf numFmtId="0" fontId="4" fillId="10" borderId="19" xfId="0" applyFont="1" applyFill="1" applyBorder="1"/>
    <xf numFmtId="0" fontId="39" fillId="0" borderId="0" xfId="0" applyFont="1" applyAlignment="1">
      <alignment vertical="center"/>
    </xf>
    <xf numFmtId="168" fontId="36" fillId="0" borderId="0" xfId="0" applyNumberFormat="1" applyFont="1" applyAlignment="1">
      <alignment vertical="center"/>
    </xf>
    <xf numFmtId="197" fontId="36" fillId="0" borderId="0" xfId="0" applyNumberFormat="1" applyFont="1" applyAlignment="1">
      <alignment vertical="center"/>
    </xf>
    <xf numFmtId="175" fontId="9" fillId="10" borderId="0" xfId="0" applyNumberFormat="1" applyFont="1" applyFill="1"/>
    <xf numFmtId="176" fontId="9" fillId="10" borderId="0" xfId="0" applyNumberFormat="1" applyFont="1" applyFill="1"/>
    <xf numFmtId="176" fontId="4" fillId="0" borderId="6" xfId="0" applyNumberFormat="1" applyFont="1" applyBorder="1"/>
    <xf numFmtId="176" fontId="4" fillId="0" borderId="6" xfId="0" applyNumberFormat="1" applyFont="1" applyBorder="1" applyAlignment="1">
      <alignment vertical="center"/>
    </xf>
    <xf numFmtId="176" fontId="9" fillId="0" borderId="6" xfId="0" applyNumberFormat="1" applyFont="1" applyBorder="1"/>
    <xf numFmtId="176" fontId="9" fillId="0" borderId="6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197" fontId="5" fillId="0" borderId="1" xfId="0" applyNumberFormat="1" applyFont="1" applyBorder="1" applyAlignment="1">
      <alignment vertical="center"/>
    </xf>
    <xf numFmtId="197" fontId="10" fillId="0" borderId="0" xfId="0" applyNumberFormat="1" applyFont="1" applyAlignment="1">
      <alignment horizontal="right" vertical="center"/>
    </xf>
    <xf numFmtId="197" fontId="3" fillId="0" borderId="0" xfId="0" applyNumberFormat="1" applyFont="1" applyAlignment="1">
      <alignment horizontal="center" vertical="center"/>
    </xf>
    <xf numFmtId="197" fontId="6" fillId="0" borderId="0" xfId="0" applyNumberFormat="1" applyFont="1"/>
    <xf numFmtId="197" fontId="3" fillId="0" borderId="0" xfId="0" applyNumberFormat="1" applyFont="1" applyAlignment="1">
      <alignment vertical="center"/>
    </xf>
    <xf numFmtId="197" fontId="6" fillId="0" borderId="0" xfId="0" applyNumberFormat="1" applyFont="1" applyAlignment="1">
      <alignment horizontal="center" vertical="center"/>
    </xf>
    <xf numFmtId="201" fontId="12" fillId="0" borderId="0" xfId="0" applyNumberFormat="1" applyFont="1" applyAlignment="1">
      <alignment horizontal="center" vertical="center"/>
    </xf>
    <xf numFmtId="202" fontId="12" fillId="0" borderId="2" xfId="0" applyNumberFormat="1" applyFont="1" applyBorder="1" applyAlignment="1">
      <alignment horizontal="center" vertical="center"/>
    </xf>
    <xf numFmtId="203" fontId="12" fillId="0" borderId="0" xfId="0" applyNumberFormat="1" applyFont="1" applyAlignment="1">
      <alignment horizontal="right" vertical="center"/>
    </xf>
    <xf numFmtId="204" fontId="12" fillId="0" borderId="0" xfId="0" applyNumberFormat="1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205" fontId="12" fillId="0" borderId="0" xfId="0" applyNumberFormat="1" applyFont="1" applyAlignment="1">
      <alignment horizontal="right" vertical="center"/>
    </xf>
    <xf numFmtId="190" fontId="12" fillId="0" borderId="0" xfId="0" applyNumberFormat="1" applyFont="1" applyAlignment="1">
      <alignment horizontal="right" vertical="center"/>
    </xf>
    <xf numFmtId="206" fontId="12" fillId="0" borderId="0" xfId="0" applyNumberFormat="1" applyFont="1" applyAlignment="1">
      <alignment horizontal="right" vertical="center"/>
    </xf>
    <xf numFmtId="207" fontId="12" fillId="0" borderId="2" xfId="0" applyNumberFormat="1" applyFont="1" applyBorder="1" applyAlignment="1">
      <alignment horizontal="right" vertical="center"/>
    </xf>
    <xf numFmtId="165" fontId="19" fillId="0" borderId="0" xfId="0" applyNumberFormat="1" applyFont="1" applyAlignment="1">
      <alignment horizontal="right" vertical="center"/>
    </xf>
    <xf numFmtId="9" fontId="6" fillId="0" borderId="0" xfId="0" applyNumberFormat="1" applyFont="1" applyAlignment="1">
      <alignment vertical="center"/>
    </xf>
    <xf numFmtId="0" fontId="6" fillId="5" borderId="1" xfId="0" applyFont="1" applyFill="1" applyBorder="1" applyAlignment="1">
      <alignment vertical="center"/>
    </xf>
    <xf numFmtId="0" fontId="34" fillId="5" borderId="1" xfId="0" applyFont="1" applyFill="1" applyBorder="1" applyAlignment="1">
      <alignment vertical="center"/>
    </xf>
    <xf numFmtId="165" fontId="34" fillId="5" borderId="1" xfId="0" applyNumberFormat="1" applyFont="1" applyFill="1" applyBorder="1" applyAlignment="1">
      <alignment horizontal="right" vertical="center"/>
    </xf>
    <xf numFmtId="165" fontId="34" fillId="5" borderId="0" xfId="0" applyNumberFormat="1" applyFont="1" applyFill="1" applyAlignment="1">
      <alignment horizontal="right" vertical="center"/>
    </xf>
    <xf numFmtId="170" fontId="34" fillId="5" borderId="0" xfId="0" applyNumberFormat="1" applyFont="1" applyFill="1" applyAlignment="1">
      <alignment vertical="center"/>
    </xf>
    <xf numFmtId="173" fontId="38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 readingOrder="1"/>
    </xf>
    <xf numFmtId="197" fontId="6" fillId="0" borderId="2" xfId="0" applyNumberFormat="1" applyFont="1" applyBorder="1" applyAlignment="1">
      <alignment vertical="center"/>
    </xf>
    <xf numFmtId="0" fontId="5" fillId="5" borderId="0" xfId="0" quotePrefix="1" applyFont="1" applyFill="1" applyAlignment="1">
      <alignment vertical="center"/>
    </xf>
    <xf numFmtId="197" fontId="10" fillId="11" borderId="0" xfId="0" applyNumberFormat="1" applyFont="1" applyFill="1" applyAlignment="1">
      <alignment vertical="center"/>
    </xf>
    <xf numFmtId="197" fontId="10" fillId="11" borderId="2" xfId="0" applyNumberFormat="1" applyFont="1" applyFill="1" applyBorder="1" applyAlignment="1">
      <alignment vertical="center"/>
    </xf>
    <xf numFmtId="165" fontId="9" fillId="5" borderId="1" xfId="0" applyNumberFormat="1" applyFont="1" applyFill="1" applyBorder="1" applyAlignment="1">
      <alignment vertical="center"/>
    </xf>
    <xf numFmtId="165" fontId="33" fillId="5" borderId="1" xfId="0" applyNumberFormat="1" applyFont="1" applyFill="1" applyBorder="1" applyAlignment="1">
      <alignment vertical="center"/>
    </xf>
    <xf numFmtId="165" fontId="5" fillId="5" borderId="1" xfId="0" applyNumberFormat="1" applyFont="1" applyFill="1" applyBorder="1" applyAlignment="1">
      <alignment horizontal="right" vertical="center"/>
    </xf>
    <xf numFmtId="0" fontId="5" fillId="11" borderId="1" xfId="0" applyFont="1" applyFill="1" applyBorder="1" applyAlignment="1">
      <alignment vertical="center"/>
    </xf>
    <xf numFmtId="197" fontId="5" fillId="0" borderId="0" xfId="0" applyNumberFormat="1" applyFont="1" applyAlignment="1">
      <alignment vertical="center"/>
    </xf>
    <xf numFmtId="0" fontId="6" fillId="13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167" fontId="3" fillId="2" borderId="0" xfId="0" applyNumberFormat="1" applyFont="1" applyFill="1" applyAlignment="1">
      <alignment vertical="center"/>
    </xf>
    <xf numFmtId="0" fontId="13" fillId="13" borderId="0" xfId="0" applyFont="1" applyFill="1" applyAlignment="1">
      <alignment vertical="center"/>
    </xf>
    <xf numFmtId="167" fontId="3" fillId="0" borderId="0" xfId="0" applyNumberFormat="1" applyFont="1" applyAlignment="1">
      <alignment vertical="center"/>
    </xf>
    <xf numFmtId="0" fontId="13" fillId="2" borderId="0" xfId="0" applyFont="1" applyFill="1" applyAlignment="1">
      <alignment vertical="center"/>
    </xf>
    <xf numFmtId="208" fontId="33" fillId="5" borderId="1" xfId="0" applyNumberFormat="1" applyFont="1" applyFill="1" applyBorder="1" applyAlignment="1">
      <alignment vertical="center"/>
    </xf>
    <xf numFmtId="208" fontId="12" fillId="0" borderId="0" xfId="0" applyNumberFormat="1" applyFont="1" applyAlignment="1">
      <alignment horizontal="right" vertical="center"/>
    </xf>
    <xf numFmtId="165" fontId="3" fillId="5" borderId="0" xfId="0" applyNumberFormat="1" applyFont="1" applyFill="1" applyAlignment="1">
      <alignment vertical="center"/>
    </xf>
    <xf numFmtId="0" fontId="5" fillId="12" borderId="0" xfId="0" applyFont="1" applyFill="1" applyAlignment="1">
      <alignment vertical="center"/>
    </xf>
    <xf numFmtId="197" fontId="44" fillId="12" borderId="0" xfId="0" applyNumberFormat="1" applyFont="1" applyFill="1" applyAlignment="1">
      <alignment vertical="center"/>
    </xf>
    <xf numFmtId="197" fontId="11" fillId="12" borderId="2" xfId="0" applyNumberFormat="1" applyFont="1" applyFill="1" applyBorder="1" applyAlignment="1">
      <alignment vertical="center"/>
    </xf>
    <xf numFmtId="197" fontId="32" fillId="0" borderId="2" xfId="0" applyNumberFormat="1" applyFont="1" applyBorder="1" applyAlignment="1">
      <alignment vertical="center"/>
    </xf>
    <xf numFmtId="165" fontId="31" fillId="5" borderId="0" xfId="0" applyNumberFormat="1" applyFont="1" applyFill="1" applyAlignment="1">
      <alignment vertical="center"/>
    </xf>
    <xf numFmtId="0" fontId="45" fillId="0" borderId="0" xfId="0" applyFont="1" applyAlignment="1">
      <alignment vertical="center"/>
    </xf>
    <xf numFmtId="165" fontId="28" fillId="11" borderId="0" xfId="0" applyNumberFormat="1" applyFont="1" applyFill="1" applyAlignment="1">
      <alignment vertical="center"/>
    </xf>
    <xf numFmtId="168" fontId="28" fillId="11" borderId="0" xfId="0" applyNumberFormat="1" applyFont="1" applyFill="1" applyAlignment="1">
      <alignment vertical="center"/>
    </xf>
    <xf numFmtId="197" fontId="32" fillId="11" borderId="0" xfId="0" applyNumberFormat="1" applyFont="1" applyFill="1" applyAlignment="1">
      <alignment vertical="center"/>
    </xf>
    <xf numFmtId="209" fontId="14" fillId="0" borderId="0" xfId="0" applyNumberFormat="1" applyFont="1" applyAlignment="1">
      <alignment vertical="center"/>
    </xf>
    <xf numFmtId="209" fontId="12" fillId="0" borderId="0" xfId="0" applyNumberFormat="1" applyFont="1" applyAlignment="1">
      <alignment vertical="center"/>
    </xf>
    <xf numFmtId="173" fontId="32" fillId="12" borderId="0" xfId="0" applyNumberFormat="1" applyFont="1" applyFill="1" applyAlignment="1">
      <alignment vertical="center"/>
    </xf>
    <xf numFmtId="0" fontId="40" fillId="0" borderId="0" xfId="0" applyFont="1" applyAlignment="1">
      <alignment horizontal="left" vertical="center" indent="1"/>
    </xf>
    <xf numFmtId="190" fontId="12" fillId="0" borderId="0" xfId="0" applyNumberFormat="1" applyFont="1" applyAlignment="1">
      <alignment vertical="center"/>
    </xf>
    <xf numFmtId="206" fontId="12" fillId="0" borderId="0" xfId="0" applyNumberFormat="1" applyFont="1" applyAlignment="1">
      <alignment vertical="center"/>
    </xf>
    <xf numFmtId="210" fontId="12" fillId="0" borderId="0" xfId="0" applyNumberFormat="1" applyFont="1" applyAlignment="1">
      <alignment vertical="center"/>
    </xf>
    <xf numFmtId="211" fontId="12" fillId="0" borderId="0" xfId="0" applyNumberFormat="1" applyFont="1" applyAlignment="1">
      <alignment vertical="center"/>
    </xf>
    <xf numFmtId="201" fontId="12" fillId="0" borderId="0" xfId="0" applyNumberFormat="1" applyFont="1" applyAlignment="1">
      <alignment vertical="center"/>
    </xf>
    <xf numFmtId="202" fontId="12" fillId="0" borderId="0" xfId="0" applyNumberFormat="1" applyFont="1" applyAlignment="1">
      <alignment vertical="center"/>
    </xf>
    <xf numFmtId="203" fontId="12" fillId="0" borderId="2" xfId="0" applyNumberFormat="1" applyFont="1" applyBorder="1" applyAlignment="1">
      <alignment vertical="center"/>
    </xf>
    <xf numFmtId="204" fontId="12" fillId="0" borderId="2" xfId="0" applyNumberFormat="1" applyFont="1" applyBorder="1" applyAlignment="1">
      <alignment vertical="center"/>
    </xf>
    <xf numFmtId="169" fontId="5" fillId="0" borderId="6" xfId="0" applyNumberFormat="1" applyFont="1" applyBorder="1" applyAlignment="1">
      <alignment vertical="center"/>
    </xf>
    <xf numFmtId="9" fontId="5" fillId="0" borderId="6" xfId="0" applyNumberFormat="1" applyFont="1" applyBorder="1" applyAlignment="1">
      <alignment vertical="center"/>
    </xf>
    <xf numFmtId="193" fontId="6" fillId="0" borderId="0" xfId="0" applyNumberFormat="1" applyFont="1" applyAlignment="1">
      <alignment vertical="center"/>
    </xf>
    <xf numFmtId="212" fontId="10" fillId="0" borderId="0" xfId="0" applyNumberFormat="1" applyFont="1" applyAlignment="1">
      <alignment vertical="center"/>
    </xf>
    <xf numFmtId="173" fontId="11" fillId="0" borderId="0" xfId="0" applyNumberFormat="1" applyFont="1" applyAlignment="1">
      <alignment vertical="center"/>
    </xf>
    <xf numFmtId="0" fontId="28" fillId="0" borderId="20" xfId="0" applyFont="1" applyBorder="1" applyAlignment="1">
      <alignment vertical="center" wrapText="1"/>
    </xf>
    <xf numFmtId="0" fontId="28" fillId="0" borderId="20" xfId="0" applyFont="1" applyBorder="1" applyAlignment="1">
      <alignment horizontal="center" vertical="center" wrapText="1"/>
    </xf>
    <xf numFmtId="0" fontId="28" fillId="0" borderId="21" xfId="0" applyFont="1" applyBorder="1" applyAlignment="1">
      <alignment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0" borderId="22" xfId="0" applyFont="1" applyBorder="1" applyAlignment="1">
      <alignment vertical="center" wrapText="1"/>
    </xf>
    <xf numFmtId="0" fontId="28" fillId="0" borderId="22" xfId="0" applyFont="1" applyBorder="1" applyAlignment="1">
      <alignment horizontal="center"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horizontal="center" vertical="center" wrapText="1"/>
    </xf>
    <xf numFmtId="194" fontId="34" fillId="0" borderId="2" xfId="0" applyNumberFormat="1" applyFont="1" applyBorder="1" applyAlignment="1">
      <alignment horizontal="center" vertical="center" wrapText="1"/>
    </xf>
    <xf numFmtId="213" fontId="28" fillId="0" borderId="21" xfId="0" applyNumberFormat="1" applyFont="1" applyBorder="1" applyAlignment="1">
      <alignment horizontal="right" vertical="center" wrapText="1"/>
    </xf>
    <xf numFmtId="214" fontId="28" fillId="0" borderId="21" xfId="0" applyNumberFormat="1" applyFont="1" applyBorder="1" applyAlignment="1">
      <alignment horizontal="right" vertical="center" wrapText="1"/>
    </xf>
    <xf numFmtId="215" fontId="28" fillId="0" borderId="21" xfId="0" applyNumberFormat="1" applyFont="1" applyBorder="1" applyAlignment="1">
      <alignment horizontal="right" vertical="center" wrapText="1"/>
    </xf>
    <xf numFmtId="216" fontId="28" fillId="0" borderId="22" xfId="0" applyNumberFormat="1" applyFont="1" applyBorder="1" applyAlignment="1">
      <alignment horizontal="right" vertical="center" wrapText="1"/>
    </xf>
    <xf numFmtId="194" fontId="28" fillId="0" borderId="20" xfId="0" applyNumberFormat="1" applyFont="1" applyBorder="1" applyAlignment="1">
      <alignment horizontal="right" vertical="center" wrapText="1"/>
    </xf>
    <xf numFmtId="194" fontId="28" fillId="0" borderId="21" xfId="0" applyNumberFormat="1" applyFont="1" applyBorder="1" applyAlignment="1">
      <alignment horizontal="right" vertical="center" wrapText="1"/>
    </xf>
    <xf numFmtId="217" fontId="12" fillId="0" borderId="0" xfId="0" applyNumberFormat="1" applyFont="1" applyAlignment="1">
      <alignment horizontal="right" vertical="center"/>
    </xf>
    <xf numFmtId="217" fontId="36" fillId="0" borderId="0" xfId="0" applyNumberFormat="1" applyFont="1" applyAlignment="1">
      <alignment horizontal="right" vertical="center"/>
    </xf>
    <xf numFmtId="217" fontId="12" fillId="0" borderId="0" xfId="0" applyNumberFormat="1" applyFont="1" applyAlignment="1">
      <alignment vertical="center"/>
    </xf>
    <xf numFmtId="217" fontId="28" fillId="0" borderId="0" xfId="0" applyNumberFormat="1" applyFont="1" applyAlignment="1">
      <alignment horizontal="right" vertical="center"/>
    </xf>
    <xf numFmtId="217" fontId="28" fillId="0" borderId="0" xfId="0" applyNumberFormat="1" applyFont="1" applyAlignment="1">
      <alignment vertical="center"/>
    </xf>
    <xf numFmtId="0" fontId="46" fillId="0" borderId="20" xfId="1" applyFont="1" applyBorder="1" applyAlignment="1">
      <alignment horizontal="center" vertical="center" wrapText="1"/>
    </xf>
    <xf numFmtId="0" fontId="46" fillId="0" borderId="21" xfId="1" applyFont="1" applyBorder="1" applyAlignment="1">
      <alignment horizontal="center" vertical="center" wrapText="1"/>
    </xf>
    <xf numFmtId="0" fontId="46" fillId="0" borderId="22" xfId="1" applyFont="1" applyBorder="1" applyAlignment="1">
      <alignment horizontal="center" vertical="center" wrapText="1"/>
    </xf>
    <xf numFmtId="217" fontId="5" fillId="0" borderId="0" xfId="0" applyNumberFormat="1" applyFont="1" applyAlignment="1">
      <alignment vertical="center"/>
    </xf>
    <xf numFmtId="217" fontId="5" fillId="5" borderId="1" xfId="0" applyNumberFormat="1" applyFont="1" applyFill="1" applyBorder="1" applyAlignment="1">
      <alignment vertical="center"/>
    </xf>
    <xf numFmtId="217" fontId="36" fillId="0" borderId="0" xfId="0" applyNumberFormat="1" applyFont="1" applyAlignment="1">
      <alignment vertical="center"/>
    </xf>
    <xf numFmtId="197" fontId="16" fillId="0" borderId="0" xfId="0" applyNumberFormat="1" applyFont="1" applyAlignment="1">
      <alignment horizontal="right" vertical="center"/>
    </xf>
    <xf numFmtId="197" fontId="44" fillId="11" borderId="0" xfId="0" applyNumberFormat="1" applyFont="1" applyFill="1" applyAlignment="1">
      <alignment vertical="center"/>
    </xf>
    <xf numFmtId="197" fontId="3" fillId="11" borderId="0" xfId="0" applyNumberFormat="1" applyFont="1" applyFill="1" applyAlignment="1">
      <alignment vertical="center"/>
    </xf>
    <xf numFmtId="172" fontId="42" fillId="0" borderId="0" xfId="0" applyNumberFormat="1" applyFont="1" applyAlignment="1">
      <alignment vertical="center"/>
    </xf>
    <xf numFmtId="218" fontId="10" fillId="0" borderId="0" xfId="0" applyNumberFormat="1" applyFont="1" applyAlignment="1">
      <alignment vertical="center"/>
    </xf>
    <xf numFmtId="194" fontId="32" fillId="0" borderId="0" xfId="0" applyNumberFormat="1" applyFont="1" applyAlignment="1">
      <alignment vertical="center"/>
    </xf>
    <xf numFmtId="0" fontId="10" fillId="11" borderId="0" xfId="0" applyFont="1" applyFill="1" applyAlignment="1">
      <alignment vertical="center"/>
    </xf>
    <xf numFmtId="174" fontId="11" fillId="12" borderId="0" xfId="0" applyNumberFormat="1" applyFont="1" applyFill="1" applyAlignment="1">
      <alignment vertical="center"/>
    </xf>
    <xf numFmtId="197" fontId="44" fillId="5" borderId="0" xfId="0" applyNumberFormat="1" applyFont="1" applyFill="1" applyAlignment="1">
      <alignment vertical="center"/>
    </xf>
    <xf numFmtId="169" fontId="6" fillId="11" borderId="0" xfId="0" applyNumberFormat="1" applyFont="1" applyFill="1" applyAlignment="1">
      <alignment horizontal="center" vertical="center"/>
    </xf>
    <xf numFmtId="212" fontId="10" fillId="11" borderId="0" xfId="0" applyNumberFormat="1" applyFont="1" applyFill="1" applyAlignment="1">
      <alignment horizontal="center" vertical="center"/>
    </xf>
    <xf numFmtId="0" fontId="6" fillId="11" borderId="2" xfId="0" applyFont="1" applyFill="1" applyBorder="1" applyAlignment="1">
      <alignment vertical="center"/>
    </xf>
    <xf numFmtId="169" fontId="6" fillId="11" borderId="2" xfId="0" applyNumberFormat="1" applyFont="1" applyFill="1" applyBorder="1" applyAlignment="1">
      <alignment horizontal="center" vertical="center"/>
    </xf>
    <xf numFmtId="0" fontId="5" fillId="11" borderId="0" xfId="0" applyFont="1" applyFill="1" applyAlignment="1">
      <alignment vertical="center"/>
    </xf>
    <xf numFmtId="196" fontId="5" fillId="11" borderId="0" xfId="0" applyNumberFormat="1" applyFont="1" applyFill="1" applyAlignment="1">
      <alignment horizontal="center" vertical="center"/>
    </xf>
    <xf numFmtId="192" fontId="6" fillId="0" borderId="0" xfId="0" applyNumberFormat="1" applyFont="1" applyAlignment="1">
      <alignment vertical="center"/>
    </xf>
    <xf numFmtId="192" fontId="12" fillId="0" borderId="0" xfId="0" applyNumberFormat="1" applyFont="1" applyAlignment="1">
      <alignment vertical="center"/>
    </xf>
    <xf numFmtId="0" fontId="17" fillId="2" borderId="0" xfId="0" applyFont="1" applyFill="1" applyAlignment="1">
      <alignment vertical="center"/>
    </xf>
    <xf numFmtId="219" fontId="12" fillId="0" borderId="0" xfId="0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6" fillId="0" borderId="0" xfId="0" applyFont="1"/>
    <xf numFmtId="220" fontId="10" fillId="0" borderId="0" xfId="0" applyNumberFormat="1" applyFont="1" applyAlignment="1">
      <alignment vertical="center"/>
    </xf>
    <xf numFmtId="168" fontId="3" fillId="0" borderId="0" xfId="0" applyNumberFormat="1" applyFont="1" applyAlignment="1">
      <alignment vertical="center"/>
    </xf>
    <xf numFmtId="165" fontId="38" fillId="0" borderId="0" xfId="0" applyNumberFormat="1" applyFont="1" applyAlignment="1">
      <alignment vertical="center"/>
    </xf>
    <xf numFmtId="165" fontId="50" fillId="5" borderId="0" xfId="0" applyNumberFormat="1" applyFont="1" applyFill="1" applyAlignment="1">
      <alignment vertical="center"/>
    </xf>
    <xf numFmtId="197" fontId="38" fillId="0" borderId="0" xfId="0" applyNumberFormat="1" applyFont="1" applyAlignment="1">
      <alignment vertical="center"/>
    </xf>
    <xf numFmtId="165" fontId="50" fillId="5" borderId="1" xfId="0" applyNumberFormat="1" applyFont="1" applyFill="1" applyBorder="1" applyAlignment="1">
      <alignment vertical="center"/>
    </xf>
    <xf numFmtId="197" fontId="16" fillId="12" borderId="0" xfId="0" applyNumberFormat="1" applyFont="1" applyFill="1" applyAlignment="1">
      <alignment vertical="center"/>
    </xf>
    <xf numFmtId="174" fontId="32" fillId="12" borderId="0" xfId="0" applyNumberFormat="1" applyFont="1" applyFill="1" applyAlignment="1">
      <alignment vertical="center"/>
    </xf>
    <xf numFmtId="165" fontId="42" fillId="5" borderId="0" xfId="0" applyNumberFormat="1" applyFont="1" applyFill="1" applyAlignment="1">
      <alignment vertical="center"/>
    </xf>
    <xf numFmtId="165" fontId="12" fillId="11" borderId="0" xfId="0" applyNumberFormat="1" applyFont="1" applyFill="1" applyAlignment="1">
      <alignment vertical="center"/>
    </xf>
    <xf numFmtId="168" fontId="12" fillId="11" borderId="0" xfId="0" applyNumberFormat="1" applyFont="1" applyFill="1" applyAlignment="1">
      <alignment vertical="center"/>
    </xf>
    <xf numFmtId="220" fontId="32" fillId="0" borderId="0" xfId="0" applyNumberFormat="1" applyFont="1" applyAlignment="1">
      <alignment vertical="center"/>
    </xf>
    <xf numFmtId="0" fontId="6" fillId="0" borderId="0" xfId="0" applyFont="1" applyFill="1" applyAlignment="1">
      <alignment vertical="center"/>
    </xf>
    <xf numFmtId="168" fontId="12" fillId="0" borderId="0" xfId="0" applyNumberFormat="1" applyFont="1" applyFill="1" applyAlignment="1">
      <alignment vertical="center"/>
    </xf>
    <xf numFmtId="0" fontId="3" fillId="0" borderId="0" xfId="0" applyFont="1" applyFill="1"/>
    <xf numFmtId="0" fontId="38" fillId="0" borderId="0" xfId="0" applyFont="1" applyAlignment="1"/>
    <xf numFmtId="0" fontId="10" fillId="0" borderId="0" xfId="0" applyFont="1" applyAlignment="1">
      <alignment horizontal="left" vertical="center"/>
    </xf>
    <xf numFmtId="0" fontId="43" fillId="0" borderId="0" xfId="0" applyFont="1" applyAlignment="1">
      <alignment vertical="center"/>
    </xf>
    <xf numFmtId="165" fontId="5" fillId="5" borderId="18" xfId="0" applyNumberFormat="1" applyFont="1" applyFill="1" applyBorder="1" applyAlignment="1">
      <alignment vertical="center"/>
    </xf>
    <xf numFmtId="0" fontId="6" fillId="5" borderId="18" xfId="0" applyFont="1" applyFill="1" applyBorder="1" applyAlignment="1">
      <alignment vertical="center"/>
    </xf>
    <xf numFmtId="165" fontId="5" fillId="5" borderId="18" xfId="0" applyNumberFormat="1" applyFont="1" applyFill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0" fontId="10" fillId="0" borderId="2" xfId="0" applyFont="1" applyBorder="1" applyAlignment="1">
      <alignment horizontal="left" vertical="center"/>
    </xf>
    <xf numFmtId="0" fontId="5" fillId="0" borderId="18" xfId="0" applyFont="1" applyBorder="1" applyAlignment="1">
      <alignment vertical="center"/>
    </xf>
    <xf numFmtId="165" fontId="5" fillId="0" borderId="18" xfId="0" applyNumberFormat="1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165" fontId="9" fillId="0" borderId="18" xfId="0" applyNumberFormat="1" applyFont="1" applyBorder="1" applyAlignment="1">
      <alignment horizontal="right" vertical="center"/>
    </xf>
    <xf numFmtId="197" fontId="42" fillId="11" borderId="0" xfId="0" applyNumberFormat="1" applyFont="1" applyFill="1" applyAlignment="1">
      <alignment vertical="center"/>
    </xf>
    <xf numFmtId="197" fontId="42" fillId="0" borderId="0" xfId="0" applyNumberFormat="1" applyFont="1" applyAlignment="1">
      <alignment vertical="center"/>
    </xf>
    <xf numFmtId="165" fontId="42" fillId="11" borderId="0" xfId="0" applyNumberFormat="1" applyFont="1" applyFill="1" applyAlignment="1">
      <alignment vertical="center"/>
    </xf>
    <xf numFmtId="165" fontId="42" fillId="0" borderId="0" xfId="0" applyNumberFormat="1" applyFont="1" applyAlignment="1">
      <alignment vertical="center"/>
    </xf>
    <xf numFmtId="197" fontId="12" fillId="11" borderId="0" xfId="0" applyNumberFormat="1" applyFont="1" applyFill="1" applyAlignment="1">
      <alignment vertical="center"/>
    </xf>
    <xf numFmtId="197" fontId="36" fillId="11" borderId="0" xfId="0" applyNumberFormat="1" applyFont="1" applyFill="1" applyAlignment="1">
      <alignment vertical="center"/>
    </xf>
    <xf numFmtId="197" fontId="12" fillId="14" borderId="0" xfId="0" applyNumberFormat="1" applyFont="1" applyFill="1" applyAlignment="1">
      <alignment vertical="center"/>
    </xf>
    <xf numFmtId="165" fontId="3" fillId="11" borderId="0" xfId="0" applyNumberFormat="1" applyFont="1" applyFill="1" applyAlignment="1">
      <alignment vertical="center"/>
    </xf>
    <xf numFmtId="0" fontId="4" fillId="0" borderId="6" xfId="0" quotePrefix="1" applyFont="1" applyBorder="1" applyAlignment="1">
      <alignment vertical="center"/>
    </xf>
    <xf numFmtId="165" fontId="4" fillId="11" borderId="6" xfId="0" applyNumberFormat="1" applyFont="1" applyFill="1" applyBorder="1" applyAlignment="1">
      <alignment vertical="center"/>
    </xf>
    <xf numFmtId="165" fontId="4" fillId="0" borderId="6" xfId="0" applyNumberFormat="1" applyFont="1" applyBorder="1" applyAlignment="1">
      <alignment vertical="center"/>
    </xf>
    <xf numFmtId="0" fontId="4" fillId="0" borderId="0" xfId="0" quotePrefix="1" applyFont="1" applyAlignment="1">
      <alignment vertical="center"/>
    </xf>
    <xf numFmtId="165" fontId="4" fillId="11" borderId="0" xfId="0" applyNumberFormat="1" applyFont="1" applyFill="1" applyAlignment="1">
      <alignment vertical="center"/>
    </xf>
    <xf numFmtId="217" fontId="12" fillId="11" borderId="0" xfId="0" applyNumberFormat="1" applyFont="1" applyFill="1" applyAlignment="1">
      <alignment horizontal="right" vertical="center"/>
    </xf>
    <xf numFmtId="165" fontId="28" fillId="0" borderId="0" xfId="0" applyNumberFormat="1" applyFont="1" applyAlignment="1">
      <alignment horizontal="right" vertical="center"/>
    </xf>
    <xf numFmtId="0" fontId="4" fillId="5" borderId="0" xfId="0" applyFont="1" applyFill="1" applyAlignment="1">
      <alignment vertical="center"/>
    </xf>
    <xf numFmtId="197" fontId="34" fillId="11" borderId="0" xfId="0" applyNumberFormat="1" applyFont="1" applyFill="1" applyAlignment="1">
      <alignment vertical="center"/>
    </xf>
    <xf numFmtId="197" fontId="34" fillId="5" borderId="0" xfId="0" applyNumberFormat="1" applyFont="1" applyFill="1" applyAlignment="1">
      <alignment vertical="center"/>
    </xf>
    <xf numFmtId="0" fontId="18" fillId="5" borderId="0" xfId="0" applyFont="1" applyFill="1" applyAlignment="1">
      <alignment vertical="center"/>
    </xf>
    <xf numFmtId="0" fontId="16" fillId="0" borderId="0" xfId="0" applyFont="1" applyAlignment="1">
      <alignment horizontal="left" vertical="center"/>
    </xf>
    <xf numFmtId="1" fontId="34" fillId="5" borderId="0" xfId="0" applyNumberFormat="1" applyFont="1" applyFill="1" applyAlignment="1">
      <alignment horizontal="centerContinuous" vertical="center"/>
    </xf>
    <xf numFmtId="0" fontId="28" fillId="5" borderId="0" xfId="0" applyFont="1" applyFill="1" applyAlignment="1">
      <alignment horizontal="centerContinuous" vertical="center"/>
    </xf>
    <xf numFmtId="0" fontId="34" fillId="0" borderId="2" xfId="0" applyFont="1" applyBorder="1" applyAlignment="1">
      <alignment horizontal="center" vertical="center"/>
    </xf>
    <xf numFmtId="0" fontId="5" fillId="10" borderId="15" xfId="0" applyFont="1" applyFill="1" applyBorder="1" applyAlignment="1">
      <alignment horizontal="center" vertical="center" wrapText="1"/>
    </xf>
    <xf numFmtId="49" fontId="5" fillId="10" borderId="16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208" fontId="6" fillId="0" borderId="0" xfId="0" applyNumberFormat="1" applyFont="1" applyAlignment="1">
      <alignment horizontal="right" vertical="center"/>
    </xf>
    <xf numFmtId="208" fontId="3" fillId="0" borderId="0" xfId="0" applyNumberFormat="1" applyFont="1" applyAlignment="1">
      <alignment horizontal="right" vertical="center"/>
    </xf>
    <xf numFmtId="208" fontId="30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vertical="center"/>
    </xf>
    <xf numFmtId="165" fontId="3" fillId="0" borderId="0" xfId="0" applyNumberFormat="1" applyFont="1" applyAlignment="1">
      <alignment horizontal="right" vertical="center"/>
    </xf>
    <xf numFmtId="169" fontId="6" fillId="0" borderId="0" xfId="0" applyNumberFormat="1" applyFont="1" applyAlignment="1">
      <alignment horizontal="right" vertical="center"/>
    </xf>
    <xf numFmtId="1" fontId="5" fillId="0" borderId="0" xfId="0" applyNumberFormat="1" applyFont="1" applyAlignment="1">
      <alignment horizontal="center" vertical="center"/>
    </xf>
    <xf numFmtId="192" fontId="6" fillId="0" borderId="0" xfId="0" applyNumberFormat="1" applyFont="1" applyAlignment="1">
      <alignment horizontal="right" vertical="center"/>
    </xf>
    <xf numFmtId="0" fontId="0" fillId="3" borderId="0" xfId="0" applyFill="1"/>
    <xf numFmtId="0" fontId="13" fillId="3" borderId="19" xfId="0" applyFont="1" applyFill="1" applyBorder="1" applyAlignment="1">
      <alignment vertical="center"/>
    </xf>
    <xf numFmtId="0" fontId="13" fillId="3" borderId="19" xfId="0" applyFont="1" applyFill="1" applyBorder="1"/>
    <xf numFmtId="0" fontId="16" fillId="0" borderId="0" xfId="0" applyFont="1" applyFill="1" applyAlignment="1">
      <alignment vertical="center"/>
    </xf>
    <xf numFmtId="0" fontId="38" fillId="0" borderId="0" xfId="0" applyFont="1" applyFill="1" applyAlignment="1">
      <alignment vertical="center"/>
    </xf>
    <xf numFmtId="0" fontId="38" fillId="0" borderId="0" xfId="0" applyFont="1" applyFill="1"/>
    <xf numFmtId="0" fontId="13" fillId="3" borderId="19" xfId="0" applyFont="1" applyFill="1" applyBorder="1" applyAlignment="1"/>
    <xf numFmtId="0" fontId="6" fillId="5" borderId="0" xfId="0" applyFont="1" applyFill="1"/>
    <xf numFmtId="226" fontId="4" fillId="5" borderId="0" xfId="0" applyNumberFormat="1" applyFont="1" applyFill="1"/>
    <xf numFmtId="226" fontId="4" fillId="5" borderId="0" xfId="0" applyNumberFormat="1" applyFont="1" applyFill="1" applyAlignment="1">
      <alignment vertical="center"/>
    </xf>
    <xf numFmtId="226" fontId="3" fillId="5" borderId="0" xfId="0" applyNumberFormat="1" applyFont="1" applyFill="1"/>
    <xf numFmtId="226" fontId="3" fillId="5" borderId="0" xfId="0" applyNumberFormat="1" applyFont="1" applyFill="1" applyAlignment="1">
      <alignment vertical="center"/>
    </xf>
    <xf numFmtId="197" fontId="16" fillId="0" borderId="0" xfId="0" applyNumberFormat="1" applyFont="1"/>
    <xf numFmtId="186" fontId="12" fillId="0" borderId="0" xfId="0" applyNumberFormat="1" applyFont="1" applyAlignment="1">
      <alignment horizontal="right"/>
    </xf>
    <xf numFmtId="0" fontId="4" fillId="0" borderId="1" xfId="0" applyFont="1" applyBorder="1"/>
    <xf numFmtId="0" fontId="51" fillId="0" borderId="0" xfId="0" applyFont="1"/>
    <xf numFmtId="0" fontId="38" fillId="0" borderId="0" xfId="0" applyFont="1"/>
    <xf numFmtId="0" fontId="52" fillId="10" borderId="19" xfId="0" applyFont="1" applyFill="1" applyBorder="1"/>
    <xf numFmtId="0" fontId="5" fillId="0" borderId="0" xfId="1" applyFont="1" applyAlignment="1">
      <alignment vertical="center"/>
    </xf>
    <xf numFmtId="0" fontId="51" fillId="0" borderId="19" xfId="0" applyFont="1" applyBorder="1" applyAlignment="1"/>
    <xf numFmtId="0" fontId="51" fillId="0" borderId="0" xfId="0" applyFont="1" applyAlignment="1"/>
    <xf numFmtId="3" fontId="12" fillId="0" borderId="0" xfId="0" applyNumberFormat="1" applyFont="1" applyAlignment="1">
      <alignment horizontal="center"/>
    </xf>
    <xf numFmtId="170" fontId="12" fillId="0" borderId="0" xfId="0" applyNumberFormat="1" applyFont="1" applyAlignment="1">
      <alignment horizontal="center"/>
    </xf>
    <xf numFmtId="198" fontId="14" fillId="0" borderId="0" xfId="0" applyNumberFormat="1" applyFont="1" applyAlignment="1">
      <alignment vertical="center"/>
    </xf>
    <xf numFmtId="170" fontId="12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170" fontId="3" fillId="0" borderId="0" xfId="0" applyNumberFormat="1" applyFont="1" applyAlignment="1">
      <alignment horizontal="right"/>
    </xf>
    <xf numFmtId="227" fontId="3" fillId="0" borderId="0" xfId="0" applyNumberFormat="1" applyFont="1" applyAlignment="1">
      <alignment horizontal="right"/>
    </xf>
    <xf numFmtId="173" fontId="4" fillId="0" borderId="1" xfId="0" applyNumberFormat="1" applyFont="1" applyBorder="1" applyAlignment="1">
      <alignment horizontal="right"/>
    </xf>
    <xf numFmtId="185" fontId="14" fillId="0" borderId="0" xfId="2" applyNumberFormat="1" applyFont="1" applyAlignment="1">
      <alignment vertical="center"/>
    </xf>
    <xf numFmtId="172" fontId="12" fillId="0" borderId="0" xfId="0" applyNumberFormat="1" applyFont="1" applyAlignment="1">
      <alignment horizontal="center" vertical="center"/>
    </xf>
    <xf numFmtId="170" fontId="6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/>
    </xf>
    <xf numFmtId="1" fontId="6" fillId="0" borderId="14" xfId="0" applyNumberFormat="1" applyFont="1" applyBorder="1" applyAlignment="1">
      <alignment horizontal="center" vertical="center"/>
    </xf>
    <xf numFmtId="0" fontId="53" fillId="0" borderId="0" xfId="0" applyFont="1"/>
    <xf numFmtId="173" fontId="54" fillId="0" borderId="0" xfId="0" applyNumberFormat="1" applyFont="1"/>
    <xf numFmtId="173" fontId="55" fillId="0" borderId="0" xfId="0" applyNumberFormat="1" applyFont="1"/>
    <xf numFmtId="165" fontId="0" fillId="0" borderId="0" xfId="0" applyNumberFormat="1"/>
    <xf numFmtId="0" fontId="5" fillId="0" borderId="0" xfId="0" applyFont="1" applyFill="1" applyBorder="1" applyAlignment="1">
      <alignment vertical="center"/>
    </xf>
    <xf numFmtId="197" fontId="18" fillId="0" borderId="0" xfId="0" applyNumberFormat="1" applyFont="1"/>
    <xf numFmtId="228" fontId="36" fillId="0" borderId="0" xfId="0" applyNumberFormat="1" applyFont="1" applyAlignment="1">
      <alignment vertical="center"/>
    </xf>
    <xf numFmtId="229" fontId="36" fillId="0" borderId="2" xfId="0" applyNumberFormat="1" applyFont="1" applyBorder="1" applyAlignment="1">
      <alignment vertical="center"/>
    </xf>
    <xf numFmtId="171" fontId="6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3" fontId="5" fillId="0" borderId="0" xfId="0" applyNumberFormat="1" applyFont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169" fontId="12" fillId="0" borderId="5" xfId="0" applyNumberFormat="1" applyFont="1" applyBorder="1" applyAlignment="1">
      <alignment horizontal="center" vertical="center"/>
    </xf>
    <xf numFmtId="169" fontId="6" fillId="0" borderId="5" xfId="0" applyNumberFormat="1" applyFont="1" applyBorder="1" applyAlignment="1">
      <alignment horizontal="center" vertical="center"/>
    </xf>
    <xf numFmtId="171" fontId="5" fillId="0" borderId="5" xfId="0" applyNumberFormat="1" applyFont="1" applyBorder="1" applyAlignment="1">
      <alignment horizontal="center" vertical="center"/>
    </xf>
    <xf numFmtId="171" fontId="6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220" fontId="11" fillId="12" borderId="0" xfId="0" applyNumberFormat="1" applyFont="1" applyFill="1" applyAlignment="1">
      <alignment vertical="center"/>
    </xf>
    <xf numFmtId="0" fontId="41" fillId="0" borderId="0" xfId="0" applyFont="1"/>
    <xf numFmtId="230" fontId="12" fillId="0" borderId="0" xfId="0" applyNumberFormat="1" applyFont="1"/>
    <xf numFmtId="231" fontId="12" fillId="0" borderId="0" xfId="0" applyNumberFormat="1" applyFont="1"/>
    <xf numFmtId="232" fontId="3" fillId="5" borderId="0" xfId="0" applyNumberFormat="1" applyFont="1" applyFill="1" applyAlignment="1">
      <alignment vertical="center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9"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outline val="0"/>
        <shadow val="0"/>
        <vertAlign val="baseline"/>
        <sz val="11"/>
        <color theme="1"/>
        <name val="Arial"/>
        <family val="2"/>
      </font>
    </dxf>
    <dxf>
      <font>
        <strike val="0"/>
        <condense val="0"/>
        <extend val="0"/>
        <outline val="0"/>
        <shadow val="0"/>
        <vertAlign val="baseline"/>
        <sz val="11"/>
        <color theme="1"/>
        <name val="Arial"/>
        <family val="2"/>
      </font>
    </dxf>
  </dxfs>
  <tableStyles count="0" defaultTableStyle="TableStyleMedium2" defaultPivotStyle="PivotStyleLight16"/>
  <colors>
    <mruColors>
      <color rgb="FF0000FF"/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WSJ_Data" displayName="WSJ_Data" ref="A1:G176" totalsRowShown="0" headerRowDxfId="8" dataDxfId="7">
  <autoFilter ref="A1:G176" xr:uid="{00000000-0009-0000-0100-000001000000}"/>
  <sortState xmlns:xlrd2="http://schemas.microsoft.com/office/spreadsheetml/2017/richdata2" ref="A2:G176">
    <sortCondition ref="F2:F176"/>
    <sortCondition ref="A2:A176"/>
    <sortCondition ref="B2:B176"/>
    <sortCondition ref="C2:C176"/>
  </sortState>
  <tableColumns count="7">
    <tableColumn id="1" xr3:uid="{00000000-0010-0000-0000-000001000000}" name="company" dataDxfId="6"/>
    <tableColumn id="2" xr3:uid="{00000000-0010-0000-0000-000002000000}" name="metric" dataDxfId="5"/>
    <tableColumn id="3" xr3:uid="{00000000-0010-0000-0000-000003000000}" name="year" dataDxfId="4"/>
    <tableColumn id="4" xr3:uid="{00000000-0010-0000-0000-000004000000}" name="segment" dataDxfId="3"/>
    <tableColumn id="5" xr3:uid="{00000000-0010-0000-0000-000005000000}" name="value_usd_b" dataDxfId="2"/>
    <tableColumn id="6" xr3:uid="{00000000-0010-0000-0000-000006000000}" name="source_basis" dataDxfId="1"/>
    <tableColumn id="7" xr3:uid="{00000000-0010-0000-0000-000007000000}" name="not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E3CBE0C-5D4A-604D-97BA-83DFD2604D2D}">
  <we:reference id="wa200010725" version="1.0.0.1" store="en-US" storeType="OMEX"/>
  <we:alternateReferences>
    <we:reference id="WA200010725" version="1.0.0.1" store="" storeType="OMEX"/>
  </we:alternateReferences>
  <we:properties>
    <we:property name="claude.fileId" value="&quot;5a9503e7-98e8-498c-a681-3e0ae99c21d3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nthropic.com/news/google-broadcom-partnership-compute" TargetMode="External"/><Relationship Id="rId3" Type="http://schemas.openxmlformats.org/officeDocument/2006/relationships/hyperlink" Target="https://www.aboutamazon.com/news/aws/amazon-anthropic-ai-investment" TargetMode="External"/><Relationship Id="rId7" Type="http://schemas.openxmlformats.org/officeDocument/2006/relationships/hyperlink" Target="https://blogs.microsoft.com/blog/2025/11/18/microsoft-nvidia-and-anthropic-announce-strategic-partnerships/" TargetMode="External"/><Relationship Id="rId2" Type="http://schemas.openxmlformats.org/officeDocument/2006/relationships/hyperlink" Target="https://www.anthropic.com/news/anthropic-google-cloud" TargetMode="External"/><Relationship Id="rId1" Type="http://schemas.openxmlformats.org/officeDocument/2006/relationships/hyperlink" Target="https://www.anthropic.com/news/anthropic-amazon" TargetMode="External"/><Relationship Id="rId6" Type="http://schemas.openxmlformats.org/officeDocument/2006/relationships/hyperlink" Target="https://www.anthropic.com/news/anthropic-amazon-compute" TargetMode="External"/><Relationship Id="rId5" Type="http://schemas.openxmlformats.org/officeDocument/2006/relationships/hyperlink" Target="https://www.anthropic.com/news/expanding-our-use-of-google-cloud-tpus-and-services" TargetMode="External"/><Relationship Id="rId10" Type="http://schemas.openxmlformats.org/officeDocument/2006/relationships/comments" Target="../comments1.xml"/><Relationship Id="rId4" Type="http://schemas.openxmlformats.org/officeDocument/2006/relationships/hyperlink" Target="https://www.anthropic.com/news/higher-limits-spacex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hyperlink" Target="https://www1.hkexnews.hk/listedco/listconews/sehk/2025/1231/2025123100025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github.com/SemiAnalysisAI/InferenceX-app/blob/d0ccc65819e4c396c4ca5243f1ec2c7864da318d/packages/constants/src/gpu-keys.ts" TargetMode="External"/><Relationship Id="rId2" Type="http://schemas.openxmlformats.org/officeDocument/2006/relationships/hyperlink" Target="https://github.com/sgl-project/sglang/blob/fac11f3bc160ab07cfe3f5e352ed95d4d8567fc9/docs_new/src/snippets/configs/zai-org/glm-5.2-benchmarks.jsx" TargetMode="External"/><Relationship Id="rId1" Type="http://schemas.openxmlformats.org/officeDocument/2006/relationships/hyperlink" Target="https://github.com/sgl-project/sglang/blob/fac11f3bc160ab07cfe3f5e352ed95d4d8567fc9/docs_new/src/snippets/configs/zai-org/glm-5.2-benchmarks.jsx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archive.ph/zXuUc" TargetMode="External"/><Relationship Id="rId3" Type="http://schemas.openxmlformats.org/officeDocument/2006/relationships/hyperlink" Target="http://cnbc.com/2025/05/16/anthropic-ai-credit-facility.html" TargetMode="External"/><Relationship Id="rId7" Type="http://schemas.openxmlformats.org/officeDocument/2006/relationships/hyperlink" Target="https://www.anthropic.com/news/statement-dario-amodei-american-ai-leadership" TargetMode="External"/><Relationship Id="rId2" Type="http://schemas.openxmlformats.org/officeDocument/2006/relationships/hyperlink" Target="https://www.theinformation.com/newsletters/ai-agenda/anthropics-claude-drives-strong-revenue-growth-while-powering-manus-sensation?rc=kz8jh3" TargetMode="External"/><Relationship Id="rId1" Type="http://schemas.openxmlformats.org/officeDocument/2006/relationships/hyperlink" Target="https://www.cnbc.com/2025/01/22/google-agrees-to-new-1-billion-investment-in-anthropic.html" TargetMode="External"/><Relationship Id="rId6" Type="http://schemas.openxmlformats.org/officeDocument/2006/relationships/hyperlink" Target="https://archive.ph/KWhkD" TargetMode="External"/><Relationship Id="rId5" Type="http://schemas.openxmlformats.org/officeDocument/2006/relationships/hyperlink" Target="https://www.theinformation.com/articles/anthropic-revenue-hits-4-billion-annual-pace-competition-cursor-intensifies?rc=kz8jh3" TargetMode="External"/><Relationship Id="rId10" Type="http://schemas.openxmlformats.org/officeDocument/2006/relationships/hyperlink" Target="https://x.com/apoorv03/status/2029018856342290550?s=20" TargetMode="External"/><Relationship Id="rId4" Type="http://schemas.openxmlformats.org/officeDocument/2006/relationships/hyperlink" Target="https://www.cnbc.com/2025/05/30/anthropic-hits-3-billion-in-annualized-revenue-on-business-demand-for-ai.html" TargetMode="External"/><Relationship Id="rId9" Type="http://schemas.openxmlformats.org/officeDocument/2006/relationships/hyperlink" Target="https://www.anthropic.com/news/anthropic-raises-30-billion-series-g-funding-380-billion-post-money-valuation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Z213"/>
  <sheetViews>
    <sheetView showGridLines="0" tabSelected="1" zoomScale="111" workbookViewId="0">
      <pane xSplit="1" ySplit="5" topLeftCell="B6" activePane="bottomRight" state="frozen"/>
      <selection activeCell="B52" sqref="B52"/>
      <selection pane="topRight" activeCell="B52" sqref="B52"/>
      <selection pane="bottomLeft" activeCell="B52" sqref="B52"/>
      <selection pane="bottomRight"/>
    </sheetView>
  </sheetViews>
  <sheetFormatPr baseColWidth="10" defaultRowHeight="14" outlineLevelRow="1" x14ac:dyDescent="0.2"/>
  <cols>
    <col min="1" max="1" width="38.33203125" style="9" customWidth="1"/>
    <col min="2" max="6" width="13.83203125" style="9" customWidth="1"/>
    <col min="7" max="7" width="3" style="9" customWidth="1"/>
    <col min="8" max="11" width="13.83203125" style="9" customWidth="1"/>
    <col min="12" max="13" width="11.6640625" style="9" customWidth="1"/>
    <col min="14" max="14" width="4.5" style="9" customWidth="1"/>
    <col min="15" max="17" width="10.83203125" style="9" customWidth="1"/>
    <col min="18" max="16384" width="10.83203125" style="9"/>
  </cols>
  <sheetData>
    <row r="1" spans="1:13" x14ac:dyDescent="0.2">
      <c r="A1" s="8" t="s">
        <v>87</v>
      </c>
    </row>
    <row r="2" spans="1:13" x14ac:dyDescent="0.2">
      <c r="A2" s="10" t="s">
        <v>1</v>
      </c>
    </row>
    <row r="3" spans="1:13" x14ac:dyDescent="0.2">
      <c r="A3" s="10"/>
    </row>
    <row r="4" spans="1:13" x14ac:dyDescent="0.2">
      <c r="A4" s="10"/>
      <c r="B4" s="11" t="s">
        <v>3</v>
      </c>
      <c r="C4" s="11"/>
      <c r="D4" s="11"/>
      <c r="E4" s="11"/>
      <c r="F4" s="11"/>
      <c r="H4" s="11" t="s">
        <v>4</v>
      </c>
      <c r="I4" s="11"/>
      <c r="J4" s="11"/>
      <c r="K4" s="11"/>
    </row>
    <row r="5" spans="1:13" x14ac:dyDescent="0.15"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H5" s="64" t="s">
        <v>12</v>
      </c>
      <c r="I5" s="64" t="s">
        <v>13</v>
      </c>
      <c r="J5" s="64" t="s">
        <v>668</v>
      </c>
      <c r="K5" s="64" t="s">
        <v>669</v>
      </c>
      <c r="M5" s="2"/>
    </row>
    <row r="6" spans="1:13" ht="8" customHeight="1" x14ac:dyDescent="0.2"/>
    <row r="7" spans="1:13" x14ac:dyDescent="0.2">
      <c r="A7" s="317" t="s">
        <v>2</v>
      </c>
      <c r="B7" s="313"/>
      <c r="C7" s="314"/>
      <c r="D7" s="313"/>
      <c r="E7" s="313"/>
      <c r="F7" s="313"/>
      <c r="G7" s="313"/>
      <c r="H7" s="313"/>
      <c r="I7" s="313"/>
      <c r="J7" s="313"/>
      <c r="K7" s="313"/>
    </row>
    <row r="8" spans="1:13" ht="8" customHeight="1" x14ac:dyDescent="0.2"/>
    <row r="9" spans="1:13" ht="16" customHeight="1" x14ac:dyDescent="0.2">
      <c r="A9" s="35" t="s">
        <v>88</v>
      </c>
      <c r="B9" s="157">
        <v>0.38100000000000001</v>
      </c>
      <c r="C9" s="157">
        <v>4.5</v>
      </c>
      <c r="D9" s="175">
        <f>'Press Pull'!E94</f>
        <v>18</v>
      </c>
      <c r="E9" s="175">
        <f>'Press Pull'!E95</f>
        <v>55</v>
      </c>
      <c r="F9" s="175">
        <f>'Press Pull'!E96</f>
        <v>102</v>
      </c>
      <c r="G9" s="174"/>
      <c r="H9" s="157">
        <v>4.8</v>
      </c>
      <c r="I9" s="157">
        <v>10.9</v>
      </c>
      <c r="J9" s="176">
        <f>($D$9-SUM($H$9:$I$9))/2</f>
        <v>1.1500000000000004</v>
      </c>
      <c r="K9" s="176">
        <f>($D$9-SUM($H$9:$I$9))/2</f>
        <v>1.1500000000000004</v>
      </c>
      <c r="M9" s="178" t="s">
        <v>89</v>
      </c>
    </row>
    <row r="10" spans="1:13" ht="16" customHeight="1" x14ac:dyDescent="0.2">
      <c r="A10" s="410" t="s">
        <v>19</v>
      </c>
      <c r="B10" s="280" t="str">
        <f>IFERROR(B9/A9-1,"NA")</f>
        <v>NA</v>
      </c>
      <c r="C10" s="280">
        <f>IFERROR(C9/B9-1,"NA")</f>
        <v>10.811023622047244</v>
      </c>
      <c r="D10" s="280">
        <f>IFERROR(D9/C9-1,"NA")</f>
        <v>3</v>
      </c>
      <c r="E10" s="280">
        <f>IFERROR(E9/D9-1,"NA")</f>
        <v>2.0555555555555554</v>
      </c>
      <c r="F10" s="280">
        <f>IFERROR(F9/E9-1,"NA")</f>
        <v>0.8545454545454545</v>
      </c>
      <c r="G10" s="233"/>
      <c r="H10" s="280" t="str">
        <f>IFERROR(H9/G9-1,"NA")</f>
        <v>NA</v>
      </c>
      <c r="I10" s="280">
        <f>IFERROR(I9/H9-1,"NA")</f>
        <v>1.2708333333333335</v>
      </c>
      <c r="J10" s="280">
        <f>IFERROR(J9/I9-1,"NA")</f>
        <v>-0.89449541284403666</v>
      </c>
      <c r="K10" s="280">
        <f>IFERROR(K9/J9-1,"NA")</f>
        <v>0</v>
      </c>
      <c r="M10" s="178" t="s">
        <v>90</v>
      </c>
    </row>
    <row r="11" spans="1:13" ht="16" customHeight="1" x14ac:dyDescent="0.2">
      <c r="A11" s="410" t="s">
        <v>91</v>
      </c>
      <c r="B11" s="162"/>
      <c r="C11" s="162"/>
      <c r="D11" s="162"/>
      <c r="E11" s="162"/>
      <c r="F11" s="162"/>
      <c r="H11" s="193">
        <f>H9*4</f>
        <v>19.2</v>
      </c>
      <c r="I11" s="193">
        <f>I9*4</f>
        <v>43.6</v>
      </c>
      <c r="J11" s="193">
        <f>J9*4</f>
        <v>4.6000000000000014</v>
      </c>
      <c r="K11" s="193">
        <f>K9*4</f>
        <v>4.6000000000000014</v>
      </c>
    </row>
    <row r="12" spans="1:13" ht="16" customHeight="1" x14ac:dyDescent="0.2">
      <c r="A12" s="8"/>
      <c r="B12" s="17"/>
      <c r="C12" s="15"/>
      <c r="D12" s="17"/>
      <c r="E12" s="17"/>
      <c r="F12" s="15"/>
      <c r="H12" s="15"/>
      <c r="I12" s="15"/>
      <c r="J12" s="17"/>
      <c r="K12" s="17"/>
    </row>
    <row r="13" spans="1:13" ht="16" customHeight="1" x14ac:dyDescent="0.2">
      <c r="A13" s="18" t="s">
        <v>92</v>
      </c>
      <c r="B13" s="17">
        <f>B14-B9</f>
        <v>-0.73913999999999991</v>
      </c>
      <c r="C13" s="17">
        <f>C14-C9</f>
        <v>-2.7</v>
      </c>
      <c r="D13" s="17">
        <f>D14-D9</f>
        <v>-8.19</v>
      </c>
      <c r="E13" s="17">
        <f>E14-E9</f>
        <v>-18.837499999999999</v>
      </c>
      <c r="F13" s="17">
        <f>F14-F9</f>
        <v>-23.459999999999994</v>
      </c>
      <c r="G13" s="18"/>
      <c r="H13" s="17">
        <f>H14-H9</f>
        <v>-2.1839999999999997</v>
      </c>
      <c r="I13" s="17">
        <f>I14-I9</f>
        <v>-4.9594999999999994</v>
      </c>
      <c r="J13" s="17">
        <f>J14-J9</f>
        <v>-0.5232500000000001</v>
      </c>
      <c r="K13" s="17">
        <f>K14-K9</f>
        <v>-0.5232500000000001</v>
      </c>
      <c r="M13" s="178" t="s">
        <v>93</v>
      </c>
    </row>
    <row r="14" spans="1:13" ht="16" customHeight="1" x14ac:dyDescent="0.2">
      <c r="A14" s="35" t="s">
        <v>22</v>
      </c>
      <c r="B14" s="164">
        <f>B15*B9</f>
        <v>-0.35813999999999996</v>
      </c>
      <c r="C14" s="173">
        <f>C9*C15</f>
        <v>1.8</v>
      </c>
      <c r="D14" s="164">
        <f>D15*D9</f>
        <v>9.81</v>
      </c>
      <c r="E14" s="164">
        <f>E9*E15</f>
        <v>36.162500000000001</v>
      </c>
      <c r="F14" s="173">
        <f>F9*F15</f>
        <v>78.540000000000006</v>
      </c>
      <c r="G14" s="174"/>
      <c r="H14" s="164">
        <f>H9*H15</f>
        <v>2.6160000000000001</v>
      </c>
      <c r="I14" s="164">
        <f>I9*I15</f>
        <v>5.940500000000001</v>
      </c>
      <c r="J14" s="164">
        <f>J9*J15</f>
        <v>0.62675000000000025</v>
      </c>
      <c r="K14" s="164">
        <f>K9*K15</f>
        <v>0.62675000000000025</v>
      </c>
    </row>
    <row r="15" spans="1:13" ht="16" customHeight="1" x14ac:dyDescent="0.2">
      <c r="A15" s="410" t="s">
        <v>23</v>
      </c>
      <c r="B15" s="239">
        <v>-0.94</v>
      </c>
      <c r="C15" s="239">
        <v>0.4</v>
      </c>
      <c r="D15" s="239">
        <f>AVERAGE(0.44,0.65)</f>
        <v>0.54500000000000004</v>
      </c>
      <c r="E15" s="240">
        <f>AVERAGE(D15,F15)</f>
        <v>0.65749999999999997</v>
      </c>
      <c r="F15" s="239">
        <v>0.77</v>
      </c>
      <c r="G15" s="233"/>
      <c r="H15" s="241">
        <f>$D$15</f>
        <v>0.54500000000000004</v>
      </c>
      <c r="I15" s="241">
        <f>$D$15</f>
        <v>0.54500000000000004</v>
      </c>
      <c r="J15" s="241">
        <f>$D$15</f>
        <v>0.54500000000000004</v>
      </c>
      <c r="K15" s="241">
        <f>$D$15</f>
        <v>0.54500000000000004</v>
      </c>
    </row>
    <row r="16" spans="1:13" ht="16" customHeight="1" x14ac:dyDescent="0.2">
      <c r="A16" s="410" t="s">
        <v>94</v>
      </c>
      <c r="B16" s="233"/>
      <c r="C16" s="234">
        <v>0.38</v>
      </c>
      <c r="D16" s="233"/>
      <c r="E16" s="233"/>
      <c r="F16" s="233"/>
      <c r="G16" s="233"/>
      <c r="H16" s="233"/>
      <c r="I16" s="233"/>
      <c r="J16" s="233"/>
      <c r="K16" s="233"/>
    </row>
    <row r="17" spans="1:13" ht="16" customHeight="1" x14ac:dyDescent="0.2">
      <c r="A17" s="8"/>
      <c r="C17" s="21"/>
      <c r="F17" s="21"/>
      <c r="H17" s="21"/>
      <c r="I17" s="21"/>
    </row>
    <row r="18" spans="1:13" ht="16" customHeight="1" x14ac:dyDescent="0.2">
      <c r="A18" s="9" t="s">
        <v>47</v>
      </c>
      <c r="B18" s="327"/>
      <c r="C18" s="22">
        <f>-11-C13</f>
        <v>-8.3000000000000007</v>
      </c>
      <c r="D18" s="163">
        <f>SUM(H18:K18)</f>
        <v>-16.546856589147286</v>
      </c>
      <c r="E18" s="163">
        <f t="shared" ref="E18:F18" si="0">E22*E$9</f>
        <v>-27.5</v>
      </c>
      <c r="F18" s="163">
        <f t="shared" si="0"/>
        <v>-40.800000000000004</v>
      </c>
      <c r="H18" s="163">
        <f>H22*H$9</f>
        <v>-7.68</v>
      </c>
      <c r="I18" s="182">
        <f>I26*I$21</f>
        <v>-5.1868565891472862</v>
      </c>
      <c r="J18" s="163">
        <f t="shared" ref="J18:K18" si="1">J22*J$9</f>
        <v>-1.8400000000000007</v>
      </c>
      <c r="K18" s="163">
        <f t="shared" si="1"/>
        <v>-1.8400000000000007</v>
      </c>
      <c r="M18" s="178" t="s">
        <v>95</v>
      </c>
    </row>
    <row r="19" spans="1:13" ht="16" customHeight="1" x14ac:dyDescent="0.2">
      <c r="A19" s="9" t="s">
        <v>96</v>
      </c>
      <c r="B19" s="328"/>
      <c r="C19" s="23">
        <v>-3.8</v>
      </c>
      <c r="D19" s="163">
        <f>SUM(H19:K19)</f>
        <v>-8.0547054263565894</v>
      </c>
      <c r="E19" s="179">
        <f>E23*E$9</f>
        <v>-22</v>
      </c>
      <c r="F19" s="179">
        <f>F23*F$9</f>
        <v>-30.599999999999998</v>
      </c>
      <c r="G19" s="70"/>
      <c r="H19" s="179">
        <f>H23*H$9</f>
        <v>-3.84</v>
      </c>
      <c r="I19" s="183">
        <f>I27*I$21</f>
        <v>-2.3747054263565888</v>
      </c>
      <c r="J19" s="179">
        <f>J23*J$9</f>
        <v>-0.92000000000000037</v>
      </c>
      <c r="K19" s="179">
        <f>K23*K$9</f>
        <v>-0.92000000000000037</v>
      </c>
      <c r="M19" s="178"/>
    </row>
    <row r="20" spans="1:13" ht="16" customHeight="1" x14ac:dyDescent="0.2">
      <c r="A20" s="9" t="s">
        <v>49</v>
      </c>
      <c r="B20" s="328"/>
      <c r="C20" s="23">
        <v>-0.8</v>
      </c>
      <c r="D20" s="163">
        <f>SUM(H20:K20)</f>
        <v>-1.5649379844961242</v>
      </c>
      <c r="E20" s="179">
        <f>E24*E$9</f>
        <v>-5.5</v>
      </c>
      <c r="F20" s="179">
        <f>F24*F$9</f>
        <v>-10.200000000000001</v>
      </c>
      <c r="G20" s="180"/>
      <c r="H20" s="179">
        <f>H24*H$9</f>
        <v>-0.72</v>
      </c>
      <c r="I20" s="183">
        <f>I28*I$21</f>
        <v>-0.49993798449612398</v>
      </c>
      <c r="J20" s="179">
        <f>J24*J$9</f>
        <v>-0.17250000000000004</v>
      </c>
      <c r="K20" s="179">
        <f>K24*K$9</f>
        <v>-0.17250000000000004</v>
      </c>
    </row>
    <row r="21" spans="1:13" ht="16" customHeight="1" x14ac:dyDescent="0.2">
      <c r="A21" s="24" t="s">
        <v>28</v>
      </c>
      <c r="B21" s="19">
        <f>B30-B14</f>
        <v>-2.6618599999999999</v>
      </c>
      <c r="C21" s="19">
        <f>SUM(C18:C20)</f>
        <v>-12.900000000000002</v>
      </c>
      <c r="D21" s="19">
        <f>SUM(D18:D20)</f>
        <v>-26.166499999999999</v>
      </c>
      <c r="E21" s="19">
        <f>SUM(E18:E20)</f>
        <v>-55</v>
      </c>
      <c r="F21" s="19">
        <f>SUM(F18:F20)</f>
        <v>-81.600000000000009</v>
      </c>
      <c r="H21" s="19">
        <f>SUM(H18:H20)</f>
        <v>-12.24</v>
      </c>
      <c r="I21" s="181">
        <f>I30-I14</f>
        <v>-8.0615000000000006</v>
      </c>
      <c r="J21" s="19">
        <f>SUM(J18:J20)</f>
        <v>-2.932500000000001</v>
      </c>
      <c r="K21" s="19">
        <f>SUM(K18:K20)</f>
        <v>-2.932500000000001</v>
      </c>
    </row>
    <row r="22" spans="1:13" ht="16" customHeight="1" x14ac:dyDescent="0.2">
      <c r="A22" s="410" t="s">
        <v>29</v>
      </c>
      <c r="B22" s="329"/>
      <c r="C22" s="234">
        <f t="shared" ref="C22:D22" si="2">C18/C$9</f>
        <v>-1.8444444444444446</v>
      </c>
      <c r="D22" s="234">
        <f t="shared" si="2"/>
        <v>-0.91926981050818257</v>
      </c>
      <c r="E22" s="235">
        <v>-0.5</v>
      </c>
      <c r="F22" s="235">
        <v>-0.4</v>
      </c>
      <c r="G22" s="233"/>
      <c r="H22" s="235">
        <v>-1.6</v>
      </c>
      <c r="I22" s="234">
        <f>I18/I$9</f>
        <v>-0.47585840267406293</v>
      </c>
      <c r="J22" s="235">
        <v>-1.6</v>
      </c>
      <c r="K22" s="235">
        <v>-1.6</v>
      </c>
    </row>
    <row r="23" spans="1:13" ht="16" customHeight="1" x14ac:dyDescent="0.2">
      <c r="A23" s="410" t="s">
        <v>30</v>
      </c>
      <c r="B23" s="329"/>
      <c r="C23" s="234">
        <f>C19/C$9</f>
        <v>-0.84444444444444444</v>
      </c>
      <c r="D23" s="234">
        <f>D19/D$9</f>
        <v>-0.44748363479758829</v>
      </c>
      <c r="E23" s="235">
        <v>-0.4</v>
      </c>
      <c r="F23" s="235">
        <v>-0.3</v>
      </c>
      <c r="G23" s="233"/>
      <c r="H23" s="235">
        <v>-0.8</v>
      </c>
      <c r="I23" s="234">
        <f>I19/I$9</f>
        <v>-0.2178628831519806</v>
      </c>
      <c r="J23" s="235">
        <v>-0.8</v>
      </c>
      <c r="K23" s="235">
        <v>-0.8</v>
      </c>
    </row>
    <row r="24" spans="1:13" ht="16" customHeight="1" x14ac:dyDescent="0.2">
      <c r="A24" s="410" t="s">
        <v>31</v>
      </c>
      <c r="B24" s="329"/>
      <c r="C24" s="234">
        <f>C20/C$9</f>
        <v>-0.17777777777777778</v>
      </c>
      <c r="D24" s="234">
        <f>D20/D$9</f>
        <v>-8.6940999138673564E-2</v>
      </c>
      <c r="E24" s="235">
        <v>-0.1</v>
      </c>
      <c r="F24" s="235">
        <v>-0.1</v>
      </c>
      <c r="G24" s="233"/>
      <c r="H24" s="235">
        <v>-0.15</v>
      </c>
      <c r="I24" s="234">
        <f>I20/I$9</f>
        <v>-4.5865870137259082E-2</v>
      </c>
      <c r="J24" s="235">
        <v>-0.15</v>
      </c>
      <c r="K24" s="235">
        <v>-0.15</v>
      </c>
    </row>
    <row r="25" spans="1:13" ht="16" customHeight="1" x14ac:dyDescent="0.2">
      <c r="B25" s="162"/>
      <c r="C25" s="233"/>
      <c r="D25" s="233"/>
      <c r="E25" s="233"/>
      <c r="F25" s="233"/>
      <c r="G25" s="233"/>
      <c r="H25" s="269"/>
      <c r="I25" s="269"/>
      <c r="J25" s="269"/>
      <c r="K25" s="269"/>
    </row>
    <row r="26" spans="1:13" ht="16" customHeight="1" x14ac:dyDescent="0.2">
      <c r="A26" s="410" t="s">
        <v>32</v>
      </c>
      <c r="B26" s="305"/>
      <c r="C26" s="234">
        <f>C18/C$21</f>
        <v>0.64341085271317822</v>
      </c>
      <c r="D26" s="234">
        <f>D18/D$21</f>
        <v>0.63236797390355171</v>
      </c>
      <c r="E26" s="234">
        <f>E18/E$21</f>
        <v>0.5</v>
      </c>
      <c r="F26" s="234">
        <f>F18/F$21</f>
        <v>0.5</v>
      </c>
      <c r="G26" s="233"/>
      <c r="H26" s="234">
        <f>H18/H$21</f>
        <v>0.62745098039215685</v>
      </c>
      <c r="I26" s="241">
        <f>C26</f>
        <v>0.64341085271317822</v>
      </c>
      <c r="J26" s="234">
        <f>J18/J$21</f>
        <v>0.62745098039215685</v>
      </c>
      <c r="K26" s="234">
        <f>K18/K$21</f>
        <v>0.62745098039215685</v>
      </c>
    </row>
    <row r="27" spans="1:13" ht="16" customHeight="1" x14ac:dyDescent="0.2">
      <c r="A27" s="410" t="s">
        <v>33</v>
      </c>
      <c r="B27" s="305"/>
      <c r="C27" s="234">
        <f>C19/C$21</f>
        <v>0.29457364341085263</v>
      </c>
      <c r="D27" s="234">
        <f>D19/D$21</f>
        <v>0.30782509798240459</v>
      </c>
      <c r="E27" s="234">
        <f>E19/E$21</f>
        <v>0.4</v>
      </c>
      <c r="F27" s="234">
        <f>F19/F$21</f>
        <v>0.37499999999999994</v>
      </c>
      <c r="G27" s="233"/>
      <c r="H27" s="234">
        <f>H19/H$21</f>
        <v>0.31372549019607843</v>
      </c>
      <c r="I27" s="241">
        <f>C27</f>
        <v>0.29457364341085263</v>
      </c>
      <c r="J27" s="234">
        <f>J19/J$21</f>
        <v>0.31372549019607843</v>
      </c>
      <c r="K27" s="234">
        <f>K19/K$21</f>
        <v>0.31372549019607843</v>
      </c>
    </row>
    <row r="28" spans="1:13" ht="16" customHeight="1" x14ac:dyDescent="0.2">
      <c r="A28" s="410" t="s">
        <v>34</v>
      </c>
      <c r="B28" s="305"/>
      <c r="C28" s="234">
        <f>C20/C$21</f>
        <v>6.2015503875968984E-2</v>
      </c>
      <c r="D28" s="234">
        <f>D20/D$21</f>
        <v>5.9806928114043693E-2</v>
      </c>
      <c r="E28" s="234">
        <f>E20/E$21</f>
        <v>0.1</v>
      </c>
      <c r="F28" s="234">
        <f>F20/F$21</f>
        <v>0.125</v>
      </c>
      <c r="G28" s="233"/>
      <c r="H28" s="234">
        <f>H20/H$21</f>
        <v>5.8823529411764705E-2</v>
      </c>
      <c r="I28" s="241">
        <f>C28</f>
        <v>6.2015503875968984E-2</v>
      </c>
      <c r="J28" s="234">
        <f>J20/J$21</f>
        <v>5.8823529411764698E-2</v>
      </c>
      <c r="K28" s="234">
        <f>K20/K$21</f>
        <v>5.8823529411764698E-2</v>
      </c>
    </row>
    <row r="29" spans="1:13" ht="16" customHeight="1" x14ac:dyDescent="0.2">
      <c r="A29" s="68"/>
      <c r="H29" s="194"/>
      <c r="I29" s="194"/>
      <c r="J29" s="194"/>
      <c r="K29" s="194"/>
    </row>
    <row r="30" spans="1:13" ht="16" customHeight="1" x14ac:dyDescent="0.2">
      <c r="A30" s="35" t="s">
        <v>35</v>
      </c>
      <c r="B30" s="69">
        <f>B52</f>
        <v>-3.02</v>
      </c>
      <c r="C30" s="69">
        <f>SUM(C14,C21)</f>
        <v>-11.100000000000001</v>
      </c>
      <c r="D30" s="69">
        <f>SUM(D14,D21)</f>
        <v>-16.356499999999997</v>
      </c>
      <c r="E30" s="69">
        <f>SUM(E14,E21)</f>
        <v>-18.837499999999999</v>
      </c>
      <c r="F30" s="69">
        <f>SUM(F14,F21)</f>
        <v>-3.0600000000000023</v>
      </c>
      <c r="H30" s="69">
        <f>SUM(H14,H21)</f>
        <v>-9.6240000000000006</v>
      </c>
      <c r="I30" s="325">
        <f>I52</f>
        <v>-2.1209999999999996</v>
      </c>
      <c r="J30" s="69">
        <f>SUM(J14,J21)</f>
        <v>-2.3057500000000006</v>
      </c>
      <c r="K30" s="69">
        <f>SUM(K14,K21)</f>
        <v>-2.3057500000000006</v>
      </c>
    </row>
    <row r="31" spans="1:13" ht="16" customHeight="1" x14ac:dyDescent="0.2">
      <c r="A31" s="410" t="s">
        <v>23</v>
      </c>
      <c r="B31" s="234">
        <f>B30/B$9</f>
        <v>-7.9265091863517059</v>
      </c>
      <c r="C31" s="234">
        <f>C30/C$9</f>
        <v>-2.4666666666666668</v>
      </c>
      <c r="D31" s="234">
        <f>D30/D$9</f>
        <v>-0.90869444444444425</v>
      </c>
      <c r="E31" s="234">
        <f>E30/E$9</f>
        <v>-0.34249999999999997</v>
      </c>
      <c r="F31" s="234">
        <f>F30/F$9</f>
        <v>-3.0000000000000023E-2</v>
      </c>
      <c r="G31" s="233"/>
      <c r="H31" s="234">
        <f>H30/H$9</f>
        <v>-2.0050000000000003</v>
      </c>
      <c r="I31" s="234">
        <f>I30/I$9</f>
        <v>-0.1945871559633027</v>
      </c>
      <c r="J31" s="234">
        <f>J30/J$9</f>
        <v>-2.0049999999999999</v>
      </c>
      <c r="K31" s="234">
        <f>K30/K$9</f>
        <v>-2.0049999999999999</v>
      </c>
    </row>
    <row r="32" spans="1:13" ht="16" customHeight="1" x14ac:dyDescent="0.2">
      <c r="A32" s="410"/>
      <c r="B32" s="20"/>
      <c r="C32" s="20"/>
      <c r="D32" s="20"/>
      <c r="E32" s="20"/>
      <c r="F32" s="20"/>
      <c r="H32" s="20"/>
      <c r="I32" s="20"/>
      <c r="J32" s="20"/>
      <c r="K32" s="20"/>
    </row>
    <row r="33" spans="1:13" ht="16" customHeight="1" x14ac:dyDescent="0.2">
      <c r="A33" s="411" t="s">
        <v>97</v>
      </c>
      <c r="B33" s="20"/>
      <c r="C33" s="20"/>
      <c r="D33" s="20"/>
      <c r="E33" s="20"/>
      <c r="F33" s="20"/>
      <c r="H33" s="20"/>
      <c r="I33" s="20"/>
      <c r="J33" s="20"/>
      <c r="K33" s="20"/>
    </row>
    <row r="34" spans="1:13" ht="16" customHeight="1" x14ac:dyDescent="0.2">
      <c r="A34" s="32" t="s">
        <v>98</v>
      </c>
      <c r="B34" s="22">
        <v>0</v>
      </c>
      <c r="C34" s="22">
        <v>0</v>
      </c>
      <c r="D34" s="163">
        <f>SUM(H34:K34)</f>
        <v>-1.5</v>
      </c>
      <c r="E34" s="22">
        <v>0</v>
      </c>
      <c r="F34" s="22">
        <v>0</v>
      </c>
      <c r="G34" s="22"/>
      <c r="H34" s="22">
        <v>0</v>
      </c>
      <c r="I34" s="210">
        <f>-$B$41*($B$40-$B$42)</f>
        <v>-1.5</v>
      </c>
      <c r="J34" s="22">
        <v>0</v>
      </c>
      <c r="K34" s="22">
        <v>0</v>
      </c>
      <c r="M34" s="231"/>
    </row>
    <row r="35" spans="1:13" ht="16" customHeight="1" x14ac:dyDescent="0.2">
      <c r="A35" s="32" t="s">
        <v>99</v>
      </c>
      <c r="B35" s="23">
        <v>0</v>
      </c>
      <c r="C35" s="22">
        <v>-2</v>
      </c>
      <c r="D35" s="179">
        <f>SUM(H35:K35)</f>
        <v>-3</v>
      </c>
      <c r="E35" s="23">
        <v>-2.5</v>
      </c>
      <c r="F35" s="23">
        <v>-1.5</v>
      </c>
      <c r="G35" s="23"/>
      <c r="H35" s="23">
        <v>-0.5</v>
      </c>
      <c r="I35" s="23">
        <v>-0.5</v>
      </c>
      <c r="J35" s="23">
        <v>-1</v>
      </c>
      <c r="K35" s="23">
        <v>-1</v>
      </c>
      <c r="M35" s="302" t="s">
        <v>100</v>
      </c>
    </row>
    <row r="36" spans="1:13" ht="16" customHeight="1" x14ac:dyDescent="0.2">
      <c r="A36" s="177" t="s">
        <v>101</v>
      </c>
      <c r="B36" s="412">
        <f>SUM(B30,B34:B35)</f>
        <v>-3.02</v>
      </c>
      <c r="C36" s="412">
        <f>SUM(C30,C34:C35)</f>
        <v>-13.100000000000001</v>
      </c>
      <c r="D36" s="412">
        <f>SUM(D30,D34:D35)</f>
        <v>-20.856499999999997</v>
      </c>
      <c r="E36" s="412">
        <f>SUM(E30,E34:E35)</f>
        <v>-21.337499999999999</v>
      </c>
      <c r="F36" s="412">
        <f>SUM(F30,F34:F35)</f>
        <v>-4.5600000000000023</v>
      </c>
      <c r="G36" s="413"/>
      <c r="H36" s="414">
        <f>SUM(H30,H34:H35)</f>
        <v>-10.124000000000001</v>
      </c>
      <c r="I36" s="414">
        <f>SUM(I30,I34:I35)</f>
        <v>-4.1209999999999996</v>
      </c>
      <c r="J36" s="414">
        <f>SUM(J30,J34:J35)</f>
        <v>-3.3057500000000006</v>
      </c>
      <c r="K36" s="414">
        <f>SUM(K30,K34:K35)</f>
        <v>-3.3057500000000006</v>
      </c>
    </row>
    <row r="37" spans="1:13" ht="16" customHeight="1" x14ac:dyDescent="0.2">
      <c r="A37" s="410" t="s">
        <v>23</v>
      </c>
      <c r="B37" s="234">
        <f>B36/B$9</f>
        <v>-7.9265091863517059</v>
      </c>
      <c r="C37" s="234">
        <f>C36/C$9</f>
        <v>-2.9111111111111114</v>
      </c>
      <c r="D37" s="234">
        <f>D36/D$9</f>
        <v>-1.1586944444444442</v>
      </c>
      <c r="E37" s="234">
        <f>E36/E$9</f>
        <v>-0.38795454545454544</v>
      </c>
      <c r="F37" s="234">
        <f>F36/F$9</f>
        <v>-4.4705882352941199E-2</v>
      </c>
      <c r="G37" s="233"/>
      <c r="H37" s="234">
        <f>H36/H$9</f>
        <v>-2.1091666666666669</v>
      </c>
      <c r="I37" s="234">
        <f>I36/I$9</f>
        <v>-0.37807339449541277</v>
      </c>
      <c r="J37" s="234">
        <f>J36/J$9</f>
        <v>-2.8745652173913041</v>
      </c>
      <c r="K37" s="234">
        <f>K36/K$9</f>
        <v>-2.8745652173913041</v>
      </c>
    </row>
    <row r="38" spans="1:13" ht="16" customHeight="1" x14ac:dyDescent="0.2">
      <c r="B38" s="17"/>
      <c r="C38" s="17"/>
      <c r="D38" s="17"/>
      <c r="E38" s="17"/>
      <c r="F38" s="17"/>
      <c r="H38" s="17"/>
      <c r="I38" s="415"/>
      <c r="J38" s="17"/>
      <c r="K38" s="17"/>
      <c r="M38" s="178"/>
    </row>
    <row r="39" spans="1:13" ht="16" customHeight="1" x14ac:dyDescent="0.2">
      <c r="A39" s="512" t="s">
        <v>739</v>
      </c>
      <c r="B39"/>
      <c r="C39"/>
      <c r="D39"/>
      <c r="E39"/>
      <c r="F39"/>
      <c r="G39"/>
      <c r="H39"/>
      <c r="I39"/>
      <c r="J39"/>
      <c r="K39"/>
      <c r="L39"/>
      <c r="M39"/>
    </row>
    <row r="40" spans="1:13" ht="16" customHeight="1" x14ac:dyDescent="0.2">
      <c r="A40" s="2" t="s">
        <v>736</v>
      </c>
      <c r="B40" s="513">
        <v>1.25</v>
      </c>
      <c r="C40"/>
      <c r="D40"/>
      <c r="E40"/>
      <c r="F40"/>
      <c r="G40"/>
      <c r="H40"/>
      <c r="I40"/>
      <c r="J40"/>
      <c r="K40"/>
      <c r="L40"/>
      <c r="M40"/>
    </row>
    <row r="41" spans="1:13" ht="16" customHeight="1" x14ac:dyDescent="0.2">
      <c r="A41" s="2" t="s">
        <v>737</v>
      </c>
      <c r="B41" s="514">
        <v>2</v>
      </c>
      <c r="C41"/>
      <c r="D41"/>
      <c r="E41"/>
      <c r="F41"/>
      <c r="G41"/>
      <c r="H41"/>
      <c r="I41"/>
      <c r="J41"/>
      <c r="K41"/>
      <c r="L41"/>
      <c r="M41"/>
    </row>
    <row r="42" spans="1:13" ht="16" customHeight="1" x14ac:dyDescent="0.2">
      <c r="A42" s="2" t="s">
        <v>738</v>
      </c>
      <c r="B42" s="513">
        <v>0.5</v>
      </c>
      <c r="C42"/>
      <c r="D42"/>
      <c r="E42"/>
      <c r="F42"/>
      <c r="G42"/>
      <c r="H42"/>
      <c r="I42"/>
      <c r="J42"/>
      <c r="K42"/>
      <c r="L42"/>
      <c r="M42"/>
    </row>
    <row r="43" spans="1:13" ht="16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 ht="16" customHeight="1" x14ac:dyDescent="0.2">
      <c r="A44" s="411" t="s">
        <v>102</v>
      </c>
      <c r="B44" s="17"/>
      <c r="C44" s="17"/>
      <c r="D44" s="17"/>
      <c r="E44" s="17"/>
      <c r="F44" s="17"/>
      <c r="H44" s="17"/>
      <c r="I44" s="415"/>
      <c r="J44" s="17"/>
      <c r="K44" s="17"/>
      <c r="M44" s="178"/>
    </row>
    <row r="45" spans="1:13" ht="16" customHeight="1" x14ac:dyDescent="0.2">
      <c r="A45" s="9" t="s">
        <v>103</v>
      </c>
      <c r="B45" s="196">
        <f>B9</f>
        <v>0.38100000000000001</v>
      </c>
      <c r="C45" s="196">
        <f>C9</f>
        <v>4.5</v>
      </c>
      <c r="D45" s="196">
        <f>D9</f>
        <v>18</v>
      </c>
      <c r="E45" s="196">
        <f>E9</f>
        <v>55</v>
      </c>
      <c r="F45" s="196">
        <f>F9</f>
        <v>102</v>
      </c>
      <c r="H45" s="162"/>
      <c r="I45" s="162"/>
      <c r="J45" s="162"/>
      <c r="K45" s="162"/>
    </row>
    <row r="46" spans="1:13" ht="16" customHeight="1" x14ac:dyDescent="0.2">
      <c r="A46" s="9" t="s">
        <v>104</v>
      </c>
      <c r="B46" s="17">
        <f>-B45*B47*B48</f>
        <v>-4.5730162258279632E-2</v>
      </c>
      <c r="C46" s="17">
        <f>-C45*C47*C48</f>
        <v>-0.54012002667259407</v>
      </c>
      <c r="D46" s="17">
        <f>-D45*D47*D48</f>
        <v>-2.1604801066903763</v>
      </c>
      <c r="E46" s="17">
        <f>-E45*E47*E48</f>
        <v>-6.6014669926650384</v>
      </c>
      <c r="F46" s="17">
        <f>-F45*F47*F48</f>
        <v>-12.242720604578798</v>
      </c>
      <c r="H46" s="162"/>
      <c r="I46" s="162"/>
      <c r="J46" s="162"/>
      <c r="K46" s="162"/>
    </row>
    <row r="47" spans="1:13" ht="16" customHeight="1" x14ac:dyDescent="0.2">
      <c r="A47" s="410" t="s">
        <v>105</v>
      </c>
      <c r="B47" s="400">
        <f>E142</f>
        <v>0.60013336296954889</v>
      </c>
      <c r="C47" s="241">
        <f>$B$47</f>
        <v>0.60013336296954889</v>
      </c>
      <c r="D47" s="241">
        <f>$B$47</f>
        <v>0.60013336296954889</v>
      </c>
      <c r="E47" s="241">
        <f>$B$47</f>
        <v>0.60013336296954889</v>
      </c>
      <c r="F47" s="241">
        <f>$B$47</f>
        <v>0.60013336296954889</v>
      </c>
      <c r="G47" s="233"/>
      <c r="H47" s="305"/>
      <c r="I47" s="305"/>
      <c r="J47" s="305"/>
      <c r="K47" s="305"/>
    </row>
    <row r="48" spans="1:13" ht="16" customHeight="1" x14ac:dyDescent="0.2">
      <c r="A48" s="416" t="s">
        <v>106</v>
      </c>
      <c r="B48" s="323">
        <v>0.2</v>
      </c>
      <c r="C48" s="324">
        <f>$B$48</f>
        <v>0.2</v>
      </c>
      <c r="D48" s="324">
        <f>$B$48</f>
        <v>0.2</v>
      </c>
      <c r="E48" s="324">
        <f>$B$48</f>
        <v>0.2</v>
      </c>
      <c r="F48" s="324">
        <f>$B$48</f>
        <v>0.2</v>
      </c>
      <c r="G48" s="303"/>
      <c r="H48" s="306"/>
      <c r="I48" s="306"/>
      <c r="J48" s="306"/>
      <c r="K48" s="306"/>
    </row>
    <row r="49" spans="1:26" ht="16" customHeight="1" x14ac:dyDescent="0.2">
      <c r="A49" s="304" t="s">
        <v>107</v>
      </c>
      <c r="B49" s="69">
        <f>B45+B46</f>
        <v>0.33526983774172037</v>
      </c>
      <c r="C49" s="69">
        <f>C45+C46</f>
        <v>3.9598799733274062</v>
      </c>
      <c r="D49" s="69">
        <f>D45+D46</f>
        <v>15.839519893309625</v>
      </c>
      <c r="E49" s="69">
        <f>E45+E46</f>
        <v>48.398533007334962</v>
      </c>
      <c r="F49" s="69">
        <f>F45+F46</f>
        <v>89.757279395421207</v>
      </c>
      <c r="G49" s="174"/>
      <c r="H49" s="162"/>
      <c r="I49" s="162"/>
      <c r="J49" s="162"/>
      <c r="K49" s="162"/>
      <c r="M49" s="302" t="s">
        <v>108</v>
      </c>
    </row>
    <row r="50" spans="1:26" ht="16" customHeight="1" x14ac:dyDescent="0.2">
      <c r="A50" s="214"/>
      <c r="B50" s="14"/>
      <c r="C50" s="14"/>
      <c r="D50" s="14"/>
      <c r="E50" s="14"/>
      <c r="F50" s="14"/>
    </row>
    <row r="51" spans="1:26" ht="16" customHeight="1" x14ac:dyDescent="0.2">
      <c r="A51" s="315" t="s">
        <v>109</v>
      </c>
      <c r="B51" s="312"/>
      <c r="C51" s="312"/>
      <c r="D51" s="312"/>
      <c r="E51" s="312"/>
      <c r="F51" s="312"/>
      <c r="G51" s="312"/>
      <c r="H51" s="312"/>
      <c r="I51" s="312"/>
      <c r="J51" s="312"/>
      <c r="K51" s="312"/>
    </row>
    <row r="52" spans="1:26" ht="16" customHeight="1" x14ac:dyDescent="0.2">
      <c r="A52" s="9" t="s">
        <v>35</v>
      </c>
      <c r="B52" s="196">
        <f>B57-B53</f>
        <v>-3.02</v>
      </c>
      <c r="C52" s="196">
        <f>C30</f>
        <v>-11.100000000000001</v>
      </c>
      <c r="D52" s="196">
        <f>D30</f>
        <v>-16.356499999999997</v>
      </c>
      <c r="E52" s="196">
        <f>E30</f>
        <v>-18.837499999999999</v>
      </c>
      <c r="F52" s="196">
        <f>F30</f>
        <v>-3.0600000000000023</v>
      </c>
      <c r="G52" s="246"/>
      <c r="H52" s="196">
        <f>H30</f>
        <v>-9.6240000000000006</v>
      </c>
      <c r="I52" s="182">
        <f>I57-I53</f>
        <v>-2.1209999999999996</v>
      </c>
      <c r="J52" s="196">
        <f>J30</f>
        <v>-2.3057500000000006</v>
      </c>
      <c r="K52" s="196">
        <f>K30</f>
        <v>-2.3057500000000006</v>
      </c>
    </row>
    <row r="53" spans="1:26" ht="16" customHeight="1" x14ac:dyDescent="0.2">
      <c r="A53" s="9" t="s">
        <v>666</v>
      </c>
      <c r="B53" s="23">
        <v>0.02</v>
      </c>
      <c r="C53" s="179">
        <f>C57-C52</f>
        <v>5.8000000000000016</v>
      </c>
      <c r="D53" s="179">
        <f>D57-D52</f>
        <v>2.3564999999999969</v>
      </c>
      <c r="E53" s="179">
        <f>E57-E52</f>
        <v>10.137499999999999</v>
      </c>
      <c r="F53" s="179">
        <f>F57-F52</f>
        <v>8.7600000000000016</v>
      </c>
      <c r="G53" s="70"/>
      <c r="H53" s="179">
        <f>H54*H9</f>
        <v>3.84</v>
      </c>
      <c r="I53" s="23">
        <v>2.2799999999999998</v>
      </c>
      <c r="J53" s="179">
        <f>J54*J9</f>
        <v>0.92000000000000037</v>
      </c>
      <c r="K53" s="179">
        <f>K54*K9</f>
        <v>0.92000000000000037</v>
      </c>
      <c r="M53" s="178" t="s">
        <v>667</v>
      </c>
    </row>
    <row r="54" spans="1:26" ht="16" customHeight="1" x14ac:dyDescent="0.15">
      <c r="A54" s="410" t="s">
        <v>110</v>
      </c>
      <c r="B54" s="332">
        <v>1.3</v>
      </c>
      <c r="C54" s="301">
        <f>C53/C9</f>
        <v>1.2888888888888892</v>
      </c>
      <c r="D54" s="301">
        <f>D53/D9</f>
        <v>0.13091666666666649</v>
      </c>
      <c r="E54" s="301">
        <f>E53/E9</f>
        <v>0.1843181818181818</v>
      </c>
      <c r="F54" s="301">
        <f>F53/F9</f>
        <v>8.5882352941176479E-2</v>
      </c>
      <c r="H54" s="346">
        <v>0.8</v>
      </c>
      <c r="I54" s="346">
        <f>I53/I9</f>
        <v>0.20917431192660549</v>
      </c>
      <c r="J54" s="346">
        <v>0.8</v>
      </c>
      <c r="K54" s="346">
        <v>0.8</v>
      </c>
      <c r="Z54" s="2"/>
    </row>
    <row r="55" spans="1:26" ht="16" customHeight="1" x14ac:dyDescent="0.15">
      <c r="A55" s="410" t="s">
        <v>111</v>
      </c>
      <c r="B55" s="326"/>
      <c r="Z55" s="2"/>
    </row>
    <row r="56" spans="1:26" ht="16" customHeight="1" x14ac:dyDescent="0.15">
      <c r="A56" s="410"/>
      <c r="B56" s="231"/>
      <c r="Z56" s="2"/>
    </row>
    <row r="57" spans="1:26" ht="16" customHeight="1" x14ac:dyDescent="0.2">
      <c r="A57" s="9" t="s">
        <v>112</v>
      </c>
      <c r="B57" s="330">
        <f>SUMIFS('Press Pull'!$E:$E,'Press Pull'!$A:$A,"Anthropic",'Press Pull'!$B:$B,"profit_including_training_costs",'Press Pull'!$F:$F,"chart_pixel_estimate",'Press Pull'!$C:$C,VALUE(LEFT(B$5,4)))</f>
        <v>-3</v>
      </c>
      <c r="C57" s="330">
        <f>SUMIFS('Press Pull'!$E:$E,'Press Pull'!$A:$A,"Anthropic",'Press Pull'!$B:$B,"profit_including_training_costs",'Press Pull'!$F:$F,"chart_pixel_estimate",'Press Pull'!$C:$C,VALUE(LEFT(C$5,4)))</f>
        <v>-5.3</v>
      </c>
      <c r="D57" s="331">
        <v>-14</v>
      </c>
      <c r="E57" s="330">
        <f>SUMIFS('Press Pull'!$E:$E,'Press Pull'!$A:$A,"Anthropic",'Press Pull'!$B:$B,"profit_including_training_costs",'Press Pull'!$F:$F,"chart_pixel_estimate",'Press Pull'!$C:$C,VALUE(LEFT(E$5,4)))</f>
        <v>-8.6999999999999993</v>
      </c>
      <c r="F57" s="330">
        <f>SUMIFS('Press Pull'!$E:$E,'Press Pull'!$A:$A,"Anthropic",'Press Pull'!$B:$B,"profit_including_training_costs",'Press Pull'!$F:$F,"chart_pixel_estimate",'Press Pull'!$C:$C,VALUE(LEFT(F$5,4)))</f>
        <v>5.7</v>
      </c>
      <c r="G57" s="70"/>
      <c r="H57" s="183">
        <f>($D$57-$I$57)/3</f>
        <v>-4.7196666666666669</v>
      </c>
      <c r="I57" s="179">
        <f>I59-I58</f>
        <v>0.15900000000000003</v>
      </c>
      <c r="J57" s="183">
        <f>($D$57-$I$57)/3</f>
        <v>-4.7196666666666669</v>
      </c>
      <c r="K57" s="183">
        <f>($D$57-$I$57)/3</f>
        <v>-4.7196666666666669</v>
      </c>
      <c r="M57" s="178"/>
    </row>
    <row r="58" spans="1:26" ht="16" customHeight="1" x14ac:dyDescent="0.2">
      <c r="A58" s="9" t="s">
        <v>113</v>
      </c>
      <c r="B58" s="268">
        <f>-B92</f>
        <v>0.28999999999999998</v>
      </c>
      <c r="C58" s="268">
        <f>-C92</f>
        <v>0.85</v>
      </c>
      <c r="D58" s="268">
        <f>-D92</f>
        <v>1.6</v>
      </c>
      <c r="E58" s="268">
        <f>-E92</f>
        <v>2.2999999999999998</v>
      </c>
      <c r="F58" s="268">
        <f>-F92</f>
        <v>2.7949999999999999</v>
      </c>
      <c r="G58" s="268"/>
      <c r="H58" s="268">
        <f>-H92</f>
        <v>0.4</v>
      </c>
      <c r="I58" s="268">
        <f>-I92</f>
        <v>0.4</v>
      </c>
      <c r="J58" s="268">
        <f>-J92</f>
        <v>0.4</v>
      </c>
      <c r="K58" s="268">
        <f>-K92</f>
        <v>0.4</v>
      </c>
    </row>
    <row r="59" spans="1:26" ht="16" customHeight="1" x14ac:dyDescent="0.2">
      <c r="A59" s="417" t="s">
        <v>114</v>
      </c>
      <c r="B59" s="418">
        <f>SUM(B57:B58)</f>
        <v>-2.71</v>
      </c>
      <c r="C59" s="418">
        <f>SUM(C57:C58)</f>
        <v>-4.45</v>
      </c>
      <c r="D59" s="418">
        <f>SUM(D57:D58)</f>
        <v>-12.4</v>
      </c>
      <c r="E59" s="418">
        <f>SUM(E57:E58)</f>
        <v>-6.3999999999999995</v>
      </c>
      <c r="F59" s="418">
        <f>SUM(F57:F58)</f>
        <v>8.495000000000001</v>
      </c>
      <c r="G59" s="419"/>
      <c r="H59" s="418">
        <f>SUM(H57:H58)</f>
        <v>-4.3196666666666665</v>
      </c>
      <c r="I59" s="420">
        <v>0.55900000000000005</v>
      </c>
      <c r="J59" s="418">
        <f>SUM(J57:J58)</f>
        <v>-4.3196666666666665</v>
      </c>
      <c r="K59" s="418">
        <f>SUM(K57:K58)</f>
        <v>-4.3196666666666665</v>
      </c>
      <c r="M59" s="178" t="s">
        <v>115</v>
      </c>
    </row>
    <row r="60" spans="1:26" ht="16" customHeight="1" x14ac:dyDescent="0.2">
      <c r="A60" s="9" t="s">
        <v>116</v>
      </c>
      <c r="B60" s="70">
        <f>B61-B59</f>
        <v>-2.8899999999999997</v>
      </c>
      <c r="C60" s="70">
        <f>C61-C59</f>
        <v>0.45000000000000018</v>
      </c>
      <c r="D60" s="70">
        <f>D61-D59</f>
        <v>1.4000000000000004</v>
      </c>
      <c r="E60" s="70">
        <f>E61-E59</f>
        <v>-4.6000000000000005</v>
      </c>
      <c r="F60" s="70">
        <f>F61-F59</f>
        <v>-6.495000000000001</v>
      </c>
      <c r="G60" s="70"/>
      <c r="H60" s="70"/>
      <c r="I60" s="70">
        <f>I61-I59</f>
        <v>1.3485</v>
      </c>
      <c r="J60" s="70"/>
      <c r="K60" s="70"/>
    </row>
    <row r="61" spans="1:26" s="8" customFormat="1" ht="16" customHeight="1" x14ac:dyDescent="0.2">
      <c r="A61" s="67" t="s">
        <v>42</v>
      </c>
      <c r="B61" s="307">
        <v>-5.6</v>
      </c>
      <c r="C61" s="308">
        <f>SUMIFS('Press Pull'!$E:$E,'Press Pull'!$A:$A,"Anthropic",'Press Pull'!$B:$B,"free_cash_flow",'Press Pull'!$F:$F,"the_information_chart",'Press Pull'!$C:$C,VALUE(LEFT(C$5,4)))</f>
        <v>-4</v>
      </c>
      <c r="D61" s="308">
        <f>SUMIFS('Press Pull'!$E:$E,'Press Pull'!$A:$A,"Anthropic",'Press Pull'!$B:$B,"free_cash_flow",'Press Pull'!$F:$F,"the_information_chart",'Press Pull'!$C:$C,VALUE(LEFT(D$5,4)))</f>
        <v>-11</v>
      </c>
      <c r="E61" s="308">
        <f>SUMIFS('Press Pull'!$E:$E,'Press Pull'!$A:$A,"Anthropic",'Press Pull'!$B:$B,"free_cash_flow",'Press Pull'!$F:$F,"the_information_chart",'Press Pull'!$C:$C,VALUE(LEFT(E$5,4)))</f>
        <v>-11</v>
      </c>
      <c r="F61" s="308">
        <f>SUMIFS('Press Pull'!$E:$E,'Press Pull'!$A:$A,"Anthropic",'Press Pull'!$B:$B,"free_cash_flow",'Press Pull'!$F:$F,"the_information_chart",'Press Pull'!$C:$C,VALUE(LEFT(F$5,4)))</f>
        <v>2</v>
      </c>
      <c r="G61" s="67"/>
      <c r="H61" s="248"/>
      <c r="I61" s="309">
        <f>I9*I62</f>
        <v>1.9075</v>
      </c>
      <c r="J61" s="310"/>
      <c r="K61" s="310"/>
      <c r="M61" s="178" t="s">
        <v>117</v>
      </c>
    </row>
    <row r="62" spans="1:26" ht="16" customHeight="1" x14ac:dyDescent="0.2">
      <c r="A62" s="410" t="s">
        <v>23</v>
      </c>
      <c r="B62" s="236">
        <f>B61/B9</f>
        <v>-14.698162729658792</v>
      </c>
      <c r="C62" s="236">
        <f>C61/C9</f>
        <v>-0.88888888888888884</v>
      </c>
      <c r="D62" s="236">
        <f>D61/D9</f>
        <v>-0.61111111111111116</v>
      </c>
      <c r="E62" s="236">
        <f>E61/E9</f>
        <v>-0.2</v>
      </c>
      <c r="F62" s="236">
        <f>F61/F9</f>
        <v>1.9607843137254902E-2</v>
      </c>
      <c r="G62" s="233"/>
      <c r="H62" s="237"/>
      <c r="I62" s="238">
        <v>0.17499999999999999</v>
      </c>
      <c r="J62" s="167"/>
      <c r="K62" s="167"/>
    </row>
    <row r="63" spans="1:26" ht="16" customHeight="1" x14ac:dyDescent="0.2">
      <c r="A63" s="410"/>
      <c r="B63" s="236"/>
      <c r="C63" s="236"/>
      <c r="D63" s="236"/>
      <c r="E63" s="236"/>
      <c r="F63" s="236"/>
      <c r="G63" s="233"/>
      <c r="H63" s="237"/>
      <c r="I63" s="238"/>
      <c r="J63" s="167"/>
      <c r="K63" s="167"/>
    </row>
    <row r="64" spans="1:26" ht="16" customHeight="1" x14ac:dyDescent="0.2">
      <c r="A64" s="411" t="s">
        <v>118</v>
      </c>
      <c r="B64" s="163">
        <f>B65*B9</f>
        <v>-4.5719999999999997E-2</v>
      </c>
      <c r="C64" s="163">
        <f>C65*C9</f>
        <v>-0.54</v>
      </c>
      <c r="D64" s="163">
        <f>D65*D9</f>
        <v>-2.16</v>
      </c>
      <c r="E64" s="163">
        <f>E65*E9</f>
        <v>-6.6</v>
      </c>
      <c r="F64" s="163">
        <f>F65*F9</f>
        <v>-12.24</v>
      </c>
      <c r="H64" s="163">
        <f>H65*H9</f>
        <v>-0.57599999999999996</v>
      </c>
      <c r="I64" s="163">
        <f>I65*I9</f>
        <v>-1.3080000000000001</v>
      </c>
      <c r="J64" s="163">
        <f>J65*J9</f>
        <v>-0.13800000000000004</v>
      </c>
      <c r="K64" s="163">
        <f>K65*K9</f>
        <v>-0.13800000000000004</v>
      </c>
    </row>
    <row r="65" spans="1:26" ht="16" customHeight="1" x14ac:dyDescent="0.15">
      <c r="A65" s="410" t="s">
        <v>110</v>
      </c>
      <c r="B65" s="239">
        <v>-0.12</v>
      </c>
      <c r="C65" s="240">
        <f>$B$65</f>
        <v>-0.12</v>
      </c>
      <c r="D65" s="240">
        <f>$B$65</f>
        <v>-0.12</v>
      </c>
      <c r="E65" s="240">
        <f>$B$65</f>
        <v>-0.12</v>
      </c>
      <c r="F65" s="240">
        <f>$B$65</f>
        <v>-0.12</v>
      </c>
      <c r="G65" s="233"/>
      <c r="H65" s="241">
        <f>$D$65</f>
        <v>-0.12</v>
      </c>
      <c r="I65" s="241">
        <f>$D$65</f>
        <v>-0.12</v>
      </c>
      <c r="J65" s="241">
        <f>$D$65</f>
        <v>-0.12</v>
      </c>
      <c r="K65" s="241">
        <f>$D$65</f>
        <v>-0.12</v>
      </c>
      <c r="Z65" s="2"/>
    </row>
    <row r="66" spans="1:26" ht="16" customHeight="1" x14ac:dyDescent="0.15">
      <c r="A66" s="410"/>
      <c r="B66" s="72"/>
      <c r="C66" s="72"/>
      <c r="E66" s="160"/>
      <c r="F66" s="160"/>
      <c r="H66" s="72"/>
      <c r="I66" s="160"/>
      <c r="J66" s="72"/>
      <c r="K66" s="72"/>
      <c r="Z66" s="2"/>
    </row>
    <row r="67" spans="1:26" ht="16" customHeight="1" x14ac:dyDescent="0.15">
      <c r="A67" s="315" t="s">
        <v>119</v>
      </c>
      <c r="B67" s="312"/>
      <c r="C67" s="312"/>
      <c r="D67" s="312"/>
      <c r="E67" s="312"/>
      <c r="F67" s="312"/>
      <c r="Z67" s="2"/>
    </row>
    <row r="68" spans="1:26" ht="16" customHeight="1" x14ac:dyDescent="0.2">
      <c r="A68" s="277" t="s">
        <v>120</v>
      </c>
      <c r="B68" s="421"/>
      <c r="C68" s="421"/>
      <c r="D68" s="422">
        <f>D15</f>
        <v>0.54500000000000004</v>
      </c>
      <c r="E68" s="422">
        <f>E15</f>
        <v>0.65749999999999997</v>
      </c>
      <c r="F68" s="422">
        <f>F15</f>
        <v>0.77</v>
      </c>
      <c r="H68" s="422">
        <f>1-H69/H9</f>
        <v>0.54500000000000004</v>
      </c>
      <c r="I68" s="422">
        <f>1-I69/I9</f>
        <v>0.54500000000000015</v>
      </c>
      <c r="J68" s="422">
        <f>1-J69/J9</f>
        <v>0.54500000000000004</v>
      </c>
      <c r="K68" s="422">
        <f>1-K69/K9</f>
        <v>0.54500000000000004</v>
      </c>
    </row>
    <row r="69" spans="1:26" ht="16" customHeight="1" x14ac:dyDescent="0.2">
      <c r="A69" s="277" t="s">
        <v>121</v>
      </c>
      <c r="B69" s="423"/>
      <c r="C69" s="423"/>
      <c r="D69" s="424">
        <f>-D13</f>
        <v>8.19</v>
      </c>
      <c r="E69" s="424">
        <f>-E13</f>
        <v>18.837499999999999</v>
      </c>
      <c r="F69" s="424">
        <f>-F13</f>
        <v>23.459999999999994</v>
      </c>
      <c r="H69" s="424">
        <f>-H13</f>
        <v>2.1839999999999997</v>
      </c>
      <c r="I69" s="424">
        <f>-I13</f>
        <v>4.9594999999999994</v>
      </c>
      <c r="J69" s="424">
        <f>-J13</f>
        <v>0.5232500000000001</v>
      </c>
      <c r="K69" s="424">
        <f>-K13</f>
        <v>0.5232500000000001</v>
      </c>
    </row>
    <row r="70" spans="1:26" ht="16" customHeight="1" x14ac:dyDescent="0.2">
      <c r="A70" s="277"/>
      <c r="B70" s="423"/>
      <c r="C70" s="423"/>
      <c r="D70" s="424"/>
      <c r="E70" s="424"/>
      <c r="F70" s="424"/>
      <c r="H70" s="424"/>
      <c r="I70" s="424"/>
      <c r="J70" s="424"/>
      <c r="K70" s="424"/>
    </row>
    <row r="71" spans="1:26" ht="16" customHeight="1" x14ac:dyDescent="0.2">
      <c r="A71" s="32" t="s">
        <v>122</v>
      </c>
      <c r="B71" s="425"/>
      <c r="C71" s="426"/>
      <c r="D71" s="427">
        <v>0.04</v>
      </c>
      <c r="E71" s="269">
        <f>$D$71</f>
        <v>0.04</v>
      </c>
      <c r="F71" s="269">
        <f>$D$71</f>
        <v>0.04</v>
      </c>
      <c r="H71" s="269">
        <f>$D$71</f>
        <v>0.04</v>
      </c>
      <c r="I71" s="269">
        <f>$D$71</f>
        <v>0.04</v>
      </c>
      <c r="J71" s="269">
        <f>$D$71</f>
        <v>0.04</v>
      </c>
      <c r="K71" s="269">
        <f>$D$71</f>
        <v>0.04</v>
      </c>
    </row>
    <row r="72" spans="1:26" ht="16" customHeight="1" x14ac:dyDescent="0.2">
      <c r="A72" s="32" t="s">
        <v>123</v>
      </c>
      <c r="B72" s="428"/>
      <c r="C72" s="428"/>
      <c r="D72" s="210">
        <f>D71*D9</f>
        <v>0.72</v>
      </c>
      <c r="E72" s="210">
        <f>E71*E9</f>
        <v>2.2000000000000002</v>
      </c>
      <c r="F72" s="210">
        <f>F71*F9</f>
        <v>4.08</v>
      </c>
      <c r="H72" s="210">
        <f>H71*H9</f>
        <v>0.192</v>
      </c>
      <c r="I72" s="210">
        <f>I71*I9</f>
        <v>0.436</v>
      </c>
      <c r="J72" s="210">
        <f>J71*J9</f>
        <v>4.6000000000000013E-2</v>
      </c>
      <c r="K72" s="210">
        <f>K71*K9</f>
        <v>4.6000000000000013E-2</v>
      </c>
    </row>
    <row r="73" spans="1:26" ht="16" customHeight="1" x14ac:dyDescent="0.2">
      <c r="A73" s="429" t="s">
        <v>124</v>
      </c>
      <c r="B73" s="430"/>
      <c r="C73" s="430"/>
      <c r="D73" s="431">
        <f>D69-D72</f>
        <v>7.47</v>
      </c>
      <c r="E73" s="431">
        <f>E69-E72</f>
        <v>16.637499999999999</v>
      </c>
      <c r="F73" s="431">
        <f>F69-F72</f>
        <v>19.379999999999995</v>
      </c>
      <c r="H73" s="431">
        <f>H69-H72</f>
        <v>1.9919999999999998</v>
      </c>
      <c r="I73" s="431">
        <f>I69-I72</f>
        <v>4.5234999999999994</v>
      </c>
      <c r="J73" s="431">
        <f>J69-J72</f>
        <v>0.47725000000000006</v>
      </c>
      <c r="K73" s="431">
        <f>K69-K72</f>
        <v>0.47725000000000006</v>
      </c>
    </row>
    <row r="74" spans="1:26" ht="16" customHeight="1" x14ac:dyDescent="0.2">
      <c r="A74" s="432"/>
      <c r="B74" s="433"/>
      <c r="C74" s="433"/>
      <c r="D74" s="212"/>
      <c r="E74" s="212"/>
      <c r="F74" s="212"/>
      <c r="H74" s="212"/>
      <c r="I74" s="212"/>
      <c r="J74" s="212"/>
      <c r="K74" s="212"/>
    </row>
    <row r="75" spans="1:26" ht="16" customHeight="1" x14ac:dyDescent="0.2">
      <c r="A75" s="32" t="s">
        <v>125</v>
      </c>
      <c r="B75" s="434"/>
      <c r="C75" s="434"/>
      <c r="D75" s="363">
        <f>D112</f>
        <v>2.6333333333333333</v>
      </c>
      <c r="E75" s="363">
        <f>E112</f>
        <v>6.7166666666666668</v>
      </c>
      <c r="F75" s="363">
        <f>F112</f>
        <v>10.8</v>
      </c>
      <c r="H75" s="363">
        <f>$D$75</f>
        <v>2.6333333333333333</v>
      </c>
      <c r="I75" s="363">
        <f>$D$75</f>
        <v>2.6333333333333333</v>
      </c>
      <c r="J75" s="363">
        <f>$D$75</f>
        <v>2.6333333333333333</v>
      </c>
      <c r="K75" s="363">
        <f>$D$75</f>
        <v>2.6333333333333333</v>
      </c>
    </row>
    <row r="76" spans="1:26" ht="16" customHeight="1" x14ac:dyDescent="0.2">
      <c r="A76" s="32" t="s">
        <v>126</v>
      </c>
      <c r="B76" s="327"/>
      <c r="C76" s="327"/>
      <c r="D76" s="163">
        <f>IFERROR(D73/D75,"-")</f>
        <v>2.8367088607594937</v>
      </c>
      <c r="E76" s="163">
        <f>IFERROR(E73/E75,"-")</f>
        <v>2.477047146401985</v>
      </c>
      <c r="F76" s="163">
        <f>IFERROR(F73/F75,"-")</f>
        <v>1.7944444444444438</v>
      </c>
      <c r="H76" s="435">
        <f>IFERROR(H73/H75,"-")</f>
        <v>0.75645569620253161</v>
      </c>
      <c r="I76" s="435">
        <f>IFERROR(I73/I75,"-")</f>
        <v>1.717784810126582</v>
      </c>
      <c r="J76" s="435">
        <f>IFERROR(J73/J75,"-")</f>
        <v>0.18123417721518989</v>
      </c>
      <c r="K76" s="435">
        <f>IFERROR(K73/K75,"-")</f>
        <v>0.18123417721518989</v>
      </c>
      <c r="M76" s="178" t="s">
        <v>127</v>
      </c>
    </row>
    <row r="77" spans="1:26" ht="16" customHeight="1" x14ac:dyDescent="0.2">
      <c r="A77" s="436" t="s">
        <v>128</v>
      </c>
      <c r="B77" s="437"/>
      <c r="C77" s="437"/>
      <c r="D77" s="438">
        <f>IFERROR(D73/D9,"-")</f>
        <v>0.41499999999999998</v>
      </c>
      <c r="E77" s="438">
        <f>IFERROR(E73/E9,"-")</f>
        <v>0.30249999999999999</v>
      </c>
      <c r="F77" s="438">
        <f>IFERROR(F73/F9,"-")</f>
        <v>0.18999999999999995</v>
      </c>
      <c r="G77" s="439"/>
      <c r="H77" s="438">
        <f>IFERROR(H73/H9,"-")</f>
        <v>0.41499999999999998</v>
      </c>
      <c r="I77" s="438">
        <f>IFERROR(I73/I9,"-")</f>
        <v>0.41499999999999992</v>
      </c>
      <c r="J77" s="438">
        <f>IFERROR(J73/J9,"-")</f>
        <v>0.41499999999999992</v>
      </c>
      <c r="K77" s="438">
        <f>IFERROR(K73/K9,"-")</f>
        <v>0.41499999999999992</v>
      </c>
    </row>
    <row r="78" spans="1:26" ht="16" customHeight="1" x14ac:dyDescent="0.2">
      <c r="A78" s="436" t="s">
        <v>129</v>
      </c>
      <c r="B78" s="437"/>
      <c r="C78" s="437"/>
      <c r="D78" s="438">
        <f>1-D77</f>
        <v>0.58499999999999996</v>
      </c>
      <c r="E78" s="438">
        <f>1-E77</f>
        <v>0.69750000000000001</v>
      </c>
      <c r="F78" s="438">
        <f>1-F77</f>
        <v>0.81</v>
      </c>
      <c r="G78" s="439"/>
      <c r="H78" s="438">
        <f>1-H77</f>
        <v>0.58499999999999996</v>
      </c>
      <c r="I78" s="438">
        <f>1-I77</f>
        <v>0.58500000000000008</v>
      </c>
      <c r="J78" s="438">
        <f>1-J77</f>
        <v>0.58500000000000008</v>
      </c>
      <c r="K78" s="438">
        <f>1-K77</f>
        <v>0.58500000000000008</v>
      </c>
    </row>
    <row r="79" spans="1:26" ht="16" customHeight="1" x14ac:dyDescent="0.2">
      <c r="A79" s="410" t="s">
        <v>130</v>
      </c>
      <c r="D79" s="377">
        <f>D77/D82</f>
        <v>4.612725000000002</v>
      </c>
      <c r="E79" s="377">
        <f>E77/E82</f>
        <v>3.3622875000000012</v>
      </c>
      <c r="F79" s="377">
        <f>F77/F82</f>
        <v>2.1118500000000004</v>
      </c>
      <c r="H79" s="377"/>
      <c r="I79" s="377"/>
      <c r="J79" s="377"/>
      <c r="K79" s="377"/>
    </row>
    <row r="80" spans="1:26" ht="16" customHeight="1" x14ac:dyDescent="0.2">
      <c r="A80" s="68"/>
      <c r="D80" s="377"/>
      <c r="E80" s="377"/>
      <c r="F80" s="377"/>
      <c r="H80" s="377"/>
      <c r="I80" s="377"/>
      <c r="J80" s="377"/>
      <c r="K80" s="377"/>
    </row>
    <row r="81" spans="1:26" ht="16" customHeight="1" x14ac:dyDescent="0.15">
      <c r="A81" s="35" t="s">
        <v>131</v>
      </c>
      <c r="B81" s="374"/>
      <c r="C81" s="374"/>
      <c r="D81" s="381">
        <f>'Margin Model'!$H$29</f>
        <v>0.91003148897885744</v>
      </c>
      <c r="E81" s="381">
        <f>'Margin Model'!$H$29</f>
        <v>0.91003148897885744</v>
      </c>
      <c r="F81" s="381">
        <f>'Margin Model'!$H$29</f>
        <v>0.91003148897885744</v>
      </c>
      <c r="M81" s="178" t="s">
        <v>132</v>
      </c>
      <c r="Z81" s="2"/>
    </row>
    <row r="82" spans="1:26" ht="16" customHeight="1" x14ac:dyDescent="0.2">
      <c r="A82" s="410" t="s">
        <v>133</v>
      </c>
      <c r="B82" s="437"/>
      <c r="C82" s="437"/>
      <c r="D82" s="236">
        <f>1-D81</f>
        <v>8.9968511021142561E-2</v>
      </c>
      <c r="E82" s="236">
        <f>1-E81</f>
        <v>8.9968511021142561E-2</v>
      </c>
      <c r="F82" s="236">
        <f>1-F81</f>
        <v>8.9968511021142561E-2</v>
      </c>
    </row>
    <row r="83" spans="1:26" ht="16" customHeight="1" x14ac:dyDescent="0.15">
      <c r="A83" s="410" t="s">
        <v>134</v>
      </c>
      <c r="B83" s="375"/>
      <c r="C83" s="375"/>
      <c r="D83" s="240">
        <f>D68-D81</f>
        <v>-0.3650314889788574</v>
      </c>
      <c r="E83" s="240">
        <f>E68-E81</f>
        <v>-0.25253148897885747</v>
      </c>
      <c r="F83" s="240">
        <f>F68-F81</f>
        <v>-0.14003148897885742</v>
      </c>
      <c r="G83" s="283"/>
      <c r="Z83" s="2"/>
    </row>
    <row r="84" spans="1:26" ht="16" customHeight="1" x14ac:dyDescent="0.2">
      <c r="A84" s="440"/>
      <c r="B84" s="240"/>
      <c r="C84" s="240"/>
      <c r="D84" s="240"/>
      <c r="E84" s="373"/>
      <c r="F84" s="373"/>
      <c r="H84" s="240"/>
      <c r="I84" s="373"/>
      <c r="J84" s="240"/>
      <c r="K84" s="240"/>
    </row>
    <row r="85" spans="1:26" ht="16" customHeight="1" x14ac:dyDescent="0.2">
      <c r="A85" s="315" t="s">
        <v>135</v>
      </c>
      <c r="B85" s="312"/>
      <c r="C85" s="312"/>
      <c r="D85" s="312"/>
      <c r="E85" s="312"/>
      <c r="F85" s="312"/>
      <c r="G85" s="312"/>
      <c r="H85" s="312"/>
      <c r="I85" s="312"/>
      <c r="J85" s="312"/>
      <c r="K85" s="312"/>
    </row>
    <row r="86" spans="1:26" ht="16" customHeight="1" x14ac:dyDescent="0.2">
      <c r="A86" s="9" t="s">
        <v>136</v>
      </c>
      <c r="B86" s="61">
        <v>200</v>
      </c>
      <c r="C86" s="198">
        <f>B87</f>
        <v>1250</v>
      </c>
      <c r="D86" s="198">
        <f>C87</f>
        <v>3000</v>
      </c>
      <c r="E86" s="198">
        <f>D87</f>
        <v>5000</v>
      </c>
      <c r="F86" s="198">
        <f>E87</f>
        <v>6500</v>
      </c>
      <c r="G86" s="197"/>
      <c r="H86" s="224"/>
      <c r="I86" s="224"/>
      <c r="J86" s="225"/>
      <c r="K86" s="225"/>
    </row>
    <row r="87" spans="1:26" ht="16" customHeight="1" x14ac:dyDescent="0.2">
      <c r="A87" s="18" t="s">
        <v>137</v>
      </c>
      <c r="B87" s="199">
        <v>1250</v>
      </c>
      <c r="C87" s="199">
        <v>3000</v>
      </c>
      <c r="D87" s="199">
        <v>5000</v>
      </c>
      <c r="E87" s="200">
        <f>D87*(1+E89)</f>
        <v>6500</v>
      </c>
      <c r="F87" s="200">
        <f>E87*(1+F89)</f>
        <v>7474.9999999999991</v>
      </c>
      <c r="G87" s="200"/>
      <c r="H87" s="226"/>
      <c r="I87" s="226"/>
      <c r="J87" s="227"/>
      <c r="K87" s="227"/>
    </row>
    <row r="88" spans="1:26" ht="16" customHeight="1" x14ac:dyDescent="0.2">
      <c r="A88" s="9" t="s">
        <v>138</v>
      </c>
      <c r="B88" s="201">
        <f>AVERAGE(B86:B87)</f>
        <v>725</v>
      </c>
      <c r="C88" s="201">
        <f>AVERAGE(C86:C87)</f>
        <v>2125</v>
      </c>
      <c r="D88" s="201">
        <f>AVERAGE(D86:D87)</f>
        <v>4000</v>
      </c>
      <c r="E88" s="201">
        <f>AVERAGE(E86:E87)</f>
        <v>5750</v>
      </c>
      <c r="F88" s="201">
        <f>AVERAGE(F86:F87)</f>
        <v>6987.5</v>
      </c>
      <c r="G88" s="197"/>
      <c r="H88" s="198">
        <f>$D$88</f>
        <v>4000</v>
      </c>
      <c r="I88" s="198">
        <f>$D$88</f>
        <v>4000</v>
      </c>
      <c r="J88" s="198">
        <f>$D$88</f>
        <v>4000</v>
      </c>
      <c r="K88" s="198">
        <f>$D$88</f>
        <v>4000</v>
      </c>
    </row>
    <row r="89" spans="1:26" ht="16" customHeight="1" x14ac:dyDescent="0.2">
      <c r="A89" s="410" t="s">
        <v>139</v>
      </c>
      <c r="B89" s="234"/>
      <c r="C89" s="234">
        <f>C87/B87-1</f>
        <v>1.4</v>
      </c>
      <c r="D89" s="234">
        <f>D87/C87-1</f>
        <v>0.66666666666666674</v>
      </c>
      <c r="E89" s="235">
        <v>0.3</v>
      </c>
      <c r="F89" s="235">
        <v>0.15</v>
      </c>
      <c r="G89" s="233"/>
      <c r="H89" s="234"/>
      <c r="I89" s="234"/>
      <c r="J89" s="234"/>
      <c r="K89" s="234"/>
    </row>
    <row r="90" spans="1:26" ht="16" customHeight="1" x14ac:dyDescent="0.2">
      <c r="A90" s="410"/>
      <c r="B90" s="20"/>
      <c r="C90" s="20"/>
      <c r="D90" s="20"/>
      <c r="E90" s="223"/>
      <c r="F90" s="223"/>
      <c r="H90" s="20"/>
      <c r="I90" s="20"/>
      <c r="J90" s="20"/>
      <c r="K90" s="20"/>
    </row>
    <row r="91" spans="1:26" ht="16" customHeight="1" x14ac:dyDescent="0.2">
      <c r="A91" s="9" t="s">
        <v>140</v>
      </c>
      <c r="B91" s="202">
        <v>400</v>
      </c>
      <c r="C91" s="196">
        <f>B91</f>
        <v>400</v>
      </c>
      <c r="D91" s="196">
        <f>C91</f>
        <v>400</v>
      </c>
      <c r="E91" s="196">
        <f>D91</f>
        <v>400</v>
      </c>
      <c r="F91" s="196">
        <f>E91</f>
        <v>400</v>
      </c>
      <c r="G91" s="17"/>
      <c r="H91" s="196">
        <f>$D$91</f>
        <v>400</v>
      </c>
      <c r="I91" s="196">
        <f>$D$91</f>
        <v>400</v>
      </c>
      <c r="J91" s="196">
        <f>$D$91</f>
        <v>400</v>
      </c>
      <c r="K91" s="196">
        <f>$D$91</f>
        <v>400</v>
      </c>
    </row>
    <row r="92" spans="1:26" ht="16" customHeight="1" x14ac:dyDescent="0.2">
      <c r="A92" s="24" t="s">
        <v>141</v>
      </c>
      <c r="B92" s="19">
        <f>-B88*B91/1000000</f>
        <v>-0.28999999999999998</v>
      </c>
      <c r="C92" s="19">
        <f>-C88*C91/1000000</f>
        <v>-0.85</v>
      </c>
      <c r="D92" s="19">
        <f>-D88*D91/1000000</f>
        <v>-1.6</v>
      </c>
      <c r="E92" s="19">
        <f>-E88*E91/1000000</f>
        <v>-2.2999999999999998</v>
      </c>
      <c r="F92" s="19">
        <f>-F88*F91/1000000</f>
        <v>-2.7949999999999999</v>
      </c>
      <c r="G92" s="19"/>
      <c r="H92" s="19">
        <f>-H88*H91/1000000/4</f>
        <v>-0.4</v>
      </c>
      <c r="I92" s="19">
        <f>-I88*I91/1000000/4</f>
        <v>-0.4</v>
      </c>
      <c r="J92" s="19">
        <f>-J88*J91/1000000/4</f>
        <v>-0.4</v>
      </c>
      <c r="K92" s="19">
        <f>-K88*K91/1000000/4</f>
        <v>-0.4</v>
      </c>
    </row>
    <row r="93" spans="1:26" ht="16" customHeight="1" x14ac:dyDescent="0.2">
      <c r="A93" s="8"/>
      <c r="B93" s="14"/>
      <c r="C93" s="14"/>
      <c r="D93" s="14"/>
      <c r="E93" s="14"/>
      <c r="F93" s="14"/>
      <c r="G93" s="14"/>
      <c r="H93" s="14"/>
      <c r="I93" s="14"/>
      <c r="J93" s="14"/>
      <c r="K93" s="14"/>
    </row>
    <row r="94" spans="1:26" ht="16" customHeight="1" x14ac:dyDescent="0.2">
      <c r="A94" s="317" t="s">
        <v>142</v>
      </c>
      <c r="B94" s="313"/>
      <c r="C94" s="314"/>
      <c r="D94" s="313"/>
      <c r="E94" s="313"/>
      <c r="F94" s="313"/>
      <c r="G94" s="313"/>
      <c r="H94" s="313"/>
      <c r="I94" s="313"/>
      <c r="J94" s="313"/>
      <c r="K94" s="313"/>
    </row>
    <row r="95" spans="1:26" ht="16" customHeight="1" x14ac:dyDescent="0.2">
      <c r="A95" s="315" t="s">
        <v>143</v>
      </c>
      <c r="B95" s="312"/>
      <c r="C95" s="312"/>
      <c r="D95" s="312"/>
      <c r="E95" s="312"/>
      <c r="F95" s="312"/>
      <c r="G95" s="312"/>
      <c r="H95" s="312"/>
      <c r="I95" s="312"/>
      <c r="J95" s="312"/>
      <c r="K95" s="312"/>
    </row>
    <row r="96" spans="1:26" ht="30" customHeight="1" x14ac:dyDescent="0.2">
      <c r="A96" s="353" t="s">
        <v>144</v>
      </c>
      <c r="B96" s="354" t="s">
        <v>145</v>
      </c>
      <c r="C96" s="354" t="s">
        <v>146</v>
      </c>
      <c r="D96" s="355" t="s">
        <v>147</v>
      </c>
      <c r="E96" s="354" t="s">
        <v>148</v>
      </c>
      <c r="F96" s="354" t="s">
        <v>149</v>
      </c>
      <c r="G96" s="354"/>
      <c r="H96" s="354" t="s">
        <v>150</v>
      </c>
      <c r="I96" s="354" t="s">
        <v>151</v>
      </c>
    </row>
    <row r="97" spans="1:11" ht="30" x14ac:dyDescent="0.2">
      <c r="A97" s="347" t="s">
        <v>152</v>
      </c>
      <c r="B97" s="348" t="s">
        <v>153</v>
      </c>
      <c r="C97" s="348" t="s">
        <v>154</v>
      </c>
      <c r="D97" s="360" t="s">
        <v>155</v>
      </c>
      <c r="E97" s="348" t="s">
        <v>156</v>
      </c>
      <c r="F97" s="348" t="s">
        <v>157</v>
      </c>
      <c r="G97" s="348"/>
      <c r="H97" s="348" t="s">
        <v>158</v>
      </c>
      <c r="I97" s="367" t="s">
        <v>159</v>
      </c>
    </row>
    <row r="98" spans="1:11" ht="30" x14ac:dyDescent="0.2">
      <c r="A98" s="349" t="s">
        <v>160</v>
      </c>
      <c r="B98" s="350" t="s">
        <v>153</v>
      </c>
      <c r="C98" s="350" t="s">
        <v>161</v>
      </c>
      <c r="D98" s="361" t="s">
        <v>162</v>
      </c>
      <c r="E98" s="350" t="s">
        <v>156</v>
      </c>
      <c r="F98" s="350" t="s">
        <v>163</v>
      </c>
      <c r="G98" s="350"/>
      <c r="H98" s="350" t="s">
        <v>158</v>
      </c>
      <c r="I98" s="368" t="s">
        <v>159</v>
      </c>
    </row>
    <row r="99" spans="1:11" ht="15" x14ac:dyDescent="0.2">
      <c r="A99" s="349" t="s">
        <v>152</v>
      </c>
      <c r="B99" s="350" t="s">
        <v>164</v>
      </c>
      <c r="C99" s="350" t="s">
        <v>165</v>
      </c>
      <c r="D99" s="361" t="s">
        <v>166</v>
      </c>
      <c r="E99" s="350" t="s">
        <v>167</v>
      </c>
      <c r="F99" s="350" t="s">
        <v>168</v>
      </c>
      <c r="G99" s="350"/>
      <c r="H99" s="350" t="s">
        <v>158</v>
      </c>
      <c r="I99" s="368" t="s">
        <v>159</v>
      </c>
    </row>
    <row r="100" spans="1:11" ht="30" x14ac:dyDescent="0.2">
      <c r="A100" s="349" t="s">
        <v>169</v>
      </c>
      <c r="B100" s="350" t="s">
        <v>170</v>
      </c>
      <c r="C100" s="350" t="s">
        <v>171</v>
      </c>
      <c r="D100" s="356">
        <v>0.3</v>
      </c>
      <c r="E100" s="350" t="s">
        <v>172</v>
      </c>
      <c r="F100" s="350" t="s">
        <v>173</v>
      </c>
      <c r="G100" s="350"/>
      <c r="H100" s="350" t="s">
        <v>174</v>
      </c>
      <c r="I100" s="368" t="s">
        <v>159</v>
      </c>
    </row>
    <row r="101" spans="1:11" ht="15" x14ac:dyDescent="0.2">
      <c r="A101" s="349" t="s">
        <v>160</v>
      </c>
      <c r="B101" s="350" t="s">
        <v>170</v>
      </c>
      <c r="C101" s="350" t="s">
        <v>175</v>
      </c>
      <c r="D101" s="357">
        <v>1</v>
      </c>
      <c r="E101" s="350" t="s">
        <v>176</v>
      </c>
      <c r="F101" s="350" t="s">
        <v>177</v>
      </c>
      <c r="G101" s="350"/>
      <c r="H101" s="350" t="s">
        <v>178</v>
      </c>
      <c r="I101" s="368" t="s">
        <v>159</v>
      </c>
    </row>
    <row r="102" spans="1:11" ht="30" x14ac:dyDescent="0.2">
      <c r="A102" s="349" t="s">
        <v>152</v>
      </c>
      <c r="B102" s="350" t="s">
        <v>179</v>
      </c>
      <c r="C102" s="350" t="s">
        <v>180</v>
      </c>
      <c r="D102" s="358">
        <v>5</v>
      </c>
      <c r="E102" s="350" t="s">
        <v>181</v>
      </c>
      <c r="F102" s="350" t="s">
        <v>182</v>
      </c>
      <c r="G102" s="350"/>
      <c r="H102" s="350" t="s">
        <v>178</v>
      </c>
      <c r="I102" s="368" t="s">
        <v>159</v>
      </c>
    </row>
    <row r="103" spans="1:11" ht="15" x14ac:dyDescent="0.2">
      <c r="A103" s="349" t="s">
        <v>183</v>
      </c>
      <c r="B103" s="350" t="s">
        <v>179</v>
      </c>
      <c r="C103" s="350" t="s">
        <v>184</v>
      </c>
      <c r="D103" s="358">
        <v>1</v>
      </c>
      <c r="E103" s="350" t="s">
        <v>185</v>
      </c>
      <c r="F103" s="350" t="s">
        <v>186</v>
      </c>
      <c r="G103" s="350"/>
      <c r="H103" s="350" t="s">
        <v>178</v>
      </c>
      <c r="I103" s="368" t="s">
        <v>159</v>
      </c>
    </row>
    <row r="104" spans="1:11" ht="15" x14ac:dyDescent="0.2">
      <c r="A104" s="351" t="s">
        <v>187</v>
      </c>
      <c r="B104" s="352" t="s">
        <v>188</v>
      </c>
      <c r="C104" s="352" t="s">
        <v>189</v>
      </c>
      <c r="D104" s="359">
        <v>3.5</v>
      </c>
      <c r="E104" s="352" t="s">
        <v>190</v>
      </c>
      <c r="F104" s="352" t="s">
        <v>191</v>
      </c>
      <c r="G104" s="352"/>
      <c r="H104" s="352" t="s">
        <v>178</v>
      </c>
      <c r="I104" s="369" t="s">
        <v>159</v>
      </c>
    </row>
    <row r="105" spans="1:11" ht="16" customHeight="1" x14ac:dyDescent="0.2">
      <c r="D105" s="319"/>
    </row>
    <row r="106" spans="1:11" ht="16" customHeight="1" x14ac:dyDescent="0.2">
      <c r="A106" s="315" t="s">
        <v>192</v>
      </c>
      <c r="B106" s="312"/>
      <c r="C106" s="312"/>
      <c r="D106" s="312"/>
      <c r="E106" s="312"/>
      <c r="F106" s="312"/>
      <c r="G106" s="312"/>
      <c r="H106" s="312"/>
      <c r="I106" s="312"/>
      <c r="J106" s="312"/>
      <c r="K106" s="312"/>
    </row>
    <row r="107" spans="1:11" ht="16" customHeight="1" x14ac:dyDescent="0.2">
      <c r="A107" s="9" t="s">
        <v>193</v>
      </c>
      <c r="B107" s="162"/>
      <c r="C107" s="162"/>
      <c r="D107" s="363">
        <f>$D$100</f>
        <v>0.3</v>
      </c>
      <c r="E107" s="363">
        <f>$D$100</f>
        <v>0.3</v>
      </c>
      <c r="F107" s="363">
        <f>$D$100</f>
        <v>0.3</v>
      </c>
    </row>
    <row r="108" spans="1:11" ht="16" customHeight="1" x14ac:dyDescent="0.2">
      <c r="A108" s="9" t="s">
        <v>194</v>
      </c>
      <c r="B108" s="162"/>
      <c r="C108" s="162"/>
      <c r="D108" s="363">
        <f>$D$101</f>
        <v>1</v>
      </c>
      <c r="E108" s="363">
        <f>$D$101</f>
        <v>1</v>
      </c>
      <c r="F108" s="363">
        <f>$D$101</f>
        <v>1</v>
      </c>
    </row>
    <row r="109" spans="1:11" ht="16" customHeight="1" x14ac:dyDescent="0.2">
      <c r="A109" s="9" t="s">
        <v>195</v>
      </c>
      <c r="B109" s="162"/>
      <c r="C109" s="162"/>
      <c r="D109" s="362">
        <f>1</f>
        <v>1</v>
      </c>
      <c r="E109" s="366">
        <f>AVERAGE(D109,F109)</f>
        <v>3</v>
      </c>
      <c r="F109" s="372">
        <f>$D$102</f>
        <v>5</v>
      </c>
    </row>
    <row r="110" spans="1:11" ht="16" customHeight="1" x14ac:dyDescent="0.2">
      <c r="A110" s="9" t="s">
        <v>196</v>
      </c>
      <c r="B110" s="162"/>
      <c r="C110" s="162"/>
      <c r="D110" s="365">
        <f>$D$103/3</f>
        <v>0.33333333333333331</v>
      </c>
      <c r="E110" s="365">
        <f>$D$103*2/3</f>
        <v>0.66666666666666663</v>
      </c>
      <c r="F110" s="363">
        <f>$D$103</f>
        <v>1</v>
      </c>
    </row>
    <row r="111" spans="1:11" ht="16" customHeight="1" x14ac:dyDescent="0.2">
      <c r="A111" s="9" t="s">
        <v>197</v>
      </c>
      <c r="B111" s="162"/>
      <c r="C111" s="162"/>
      <c r="D111" s="362">
        <v>0</v>
      </c>
      <c r="E111" s="366">
        <f>$D$104/2</f>
        <v>1.75</v>
      </c>
      <c r="F111" s="364">
        <f>$D$104</f>
        <v>3.5</v>
      </c>
    </row>
    <row r="112" spans="1:11" ht="16" customHeight="1" x14ac:dyDescent="0.2">
      <c r="A112" s="67" t="s">
        <v>198</v>
      </c>
      <c r="B112" s="296"/>
      <c r="C112" s="296"/>
      <c r="D112" s="371">
        <f>SUM(D107:D111)</f>
        <v>2.6333333333333333</v>
      </c>
      <c r="E112" s="371">
        <f>SUM(E107:E111)</f>
        <v>6.7166666666666668</v>
      </c>
      <c r="F112" s="371">
        <f>SUM(F107:F111)</f>
        <v>10.8</v>
      </c>
    </row>
    <row r="113" spans="1:13" ht="16" customHeight="1" x14ac:dyDescent="0.2">
      <c r="A113" s="8"/>
      <c r="B113" s="162"/>
      <c r="C113" s="162"/>
      <c r="D113" s="370"/>
      <c r="E113" s="370"/>
      <c r="F113" s="370"/>
    </row>
    <row r="114" spans="1:13" ht="16" customHeight="1" x14ac:dyDescent="0.2">
      <c r="A114" s="315" t="s">
        <v>199</v>
      </c>
      <c r="B114" s="312"/>
      <c r="C114" s="312"/>
      <c r="D114" s="312"/>
      <c r="E114" s="312"/>
      <c r="F114" s="312"/>
      <c r="G114" s="312"/>
      <c r="H114" s="312"/>
      <c r="I114" s="312"/>
      <c r="J114" s="312"/>
      <c r="K114" s="312"/>
    </row>
    <row r="115" spans="1:13" ht="16" customHeight="1" x14ac:dyDescent="0.2">
      <c r="A115" s="32" t="s">
        <v>200</v>
      </c>
      <c r="B115" s="22">
        <v>0.75</v>
      </c>
      <c r="C115" s="22">
        <f>3.5+13</f>
        <v>16.5</v>
      </c>
      <c r="D115" s="22">
        <f>30+65</f>
        <v>95</v>
      </c>
      <c r="E115" s="22">
        <v>0</v>
      </c>
      <c r="F115" s="22">
        <v>0</v>
      </c>
    </row>
    <row r="116" spans="1:13" ht="16" customHeight="1" x14ac:dyDescent="0.2">
      <c r="A116" s="32" t="s">
        <v>201</v>
      </c>
      <c r="B116" s="210">
        <f>B115</f>
        <v>0.75</v>
      </c>
      <c r="C116" s="210">
        <f>B116+C115</f>
        <v>17.25</v>
      </c>
      <c r="D116" s="210">
        <f>C116+D115</f>
        <v>112.25</v>
      </c>
      <c r="E116" s="210">
        <f>D116+E115</f>
        <v>112.25</v>
      </c>
      <c r="F116" s="210">
        <f>E116+F115</f>
        <v>112.25</v>
      </c>
    </row>
    <row r="117" spans="1:13" ht="16" customHeight="1" x14ac:dyDescent="0.2">
      <c r="A117" s="32"/>
      <c r="B117" s="210"/>
      <c r="C117" s="210"/>
      <c r="D117" s="210"/>
      <c r="E117" s="210"/>
      <c r="F117" s="210"/>
    </row>
    <row r="118" spans="1:13" ht="16" customHeight="1" x14ac:dyDescent="0.2">
      <c r="A118" s="214" t="s">
        <v>202</v>
      </c>
      <c r="B118" s="162"/>
      <c r="C118" s="162"/>
      <c r="D118" s="376">
        <f>D112</f>
        <v>2.6333333333333333</v>
      </c>
      <c r="E118" s="376">
        <f>E112</f>
        <v>6.7166666666666668</v>
      </c>
      <c r="F118" s="376">
        <f>F112</f>
        <v>10.8</v>
      </c>
    </row>
    <row r="119" spans="1:13" ht="16" customHeight="1" x14ac:dyDescent="0.2">
      <c r="A119" s="9" t="s">
        <v>203</v>
      </c>
      <c r="B119" s="162"/>
      <c r="C119" s="162"/>
      <c r="D119" s="137">
        <f>D120*100*8760/1000000000</f>
        <v>19.3596</v>
      </c>
      <c r="E119" s="137">
        <f>E120*100*8760/1000000000</f>
        <v>19.3596</v>
      </c>
      <c r="F119" s="137">
        <f>F120*100*8760/1000000000</f>
        <v>19.3596</v>
      </c>
    </row>
    <row r="120" spans="1:13" ht="16" customHeight="1" x14ac:dyDescent="0.2">
      <c r="A120" s="410" t="s">
        <v>204</v>
      </c>
      <c r="B120" s="379"/>
      <c r="C120" s="379"/>
      <c r="D120" s="380">
        <v>22100</v>
      </c>
      <c r="E120" s="401">
        <f>$D$120</f>
        <v>22100</v>
      </c>
      <c r="F120" s="401">
        <f>$D$120</f>
        <v>22100</v>
      </c>
    </row>
    <row r="121" spans="1:13" ht="16" customHeight="1" x14ac:dyDescent="0.2">
      <c r="A121" s="24" t="s">
        <v>205</v>
      </c>
      <c r="B121" s="310"/>
      <c r="C121" s="310"/>
      <c r="D121" s="250">
        <f>D118*D119</f>
        <v>50.98028</v>
      </c>
      <c r="E121" s="250">
        <f>E118*E119</f>
        <v>130.03198</v>
      </c>
      <c r="F121" s="250">
        <f>F118*F119</f>
        <v>209.08368000000002</v>
      </c>
      <c r="M121" s="178" t="s">
        <v>206</v>
      </c>
    </row>
    <row r="122" spans="1:13" ht="16" customHeight="1" x14ac:dyDescent="0.2">
      <c r="A122" s="490" t="s">
        <v>704</v>
      </c>
      <c r="B122"/>
      <c r="C122"/>
      <c r="D122" s="491">
        <f>1-OpenAI!$D$58/OpenAI!$D$57</f>
        <v>0.33834586466165417</v>
      </c>
      <c r="E122" s="492">
        <f>$D$122</f>
        <v>0.33834586466165417</v>
      </c>
      <c r="F122" s="492">
        <f>$D$122</f>
        <v>0.33834586466165417</v>
      </c>
      <c r="M122" s="178" t="s">
        <v>711</v>
      </c>
    </row>
    <row r="123" spans="1:13" ht="16" customHeight="1" x14ac:dyDescent="0.2">
      <c r="A123" s="490" t="s">
        <v>705</v>
      </c>
      <c r="B123"/>
      <c r="C123"/>
      <c r="D123" s="493">
        <f>D121*D122</f>
        <v>17.248966917293235</v>
      </c>
      <c r="E123" s="493">
        <f>E121*E122</f>
        <v>43.995782706766924</v>
      </c>
      <c r="F123" s="493">
        <f>F121*F122</f>
        <v>70.742598496240618</v>
      </c>
    </row>
    <row r="124" spans="1:13" ht="16" customHeight="1" x14ac:dyDescent="0.2">
      <c r="A124" s="490" t="s">
        <v>706</v>
      </c>
      <c r="B124"/>
      <c r="C124"/>
      <c r="D124" s="493">
        <f>D121-D123</f>
        <v>33.731313082706762</v>
      </c>
      <c r="E124" s="493">
        <f>E121-E123</f>
        <v>86.036197293233073</v>
      </c>
      <c r="F124" s="493">
        <f>F121-F123</f>
        <v>138.3410815037594</v>
      </c>
    </row>
    <row r="125" spans="1:13" ht="16" customHeight="1" x14ac:dyDescent="0.2">
      <c r="A125" s="410" t="s">
        <v>207</v>
      </c>
      <c r="B125" s="162"/>
      <c r="C125" s="162"/>
      <c r="D125" s="378">
        <f>D118</f>
        <v>2.6333333333333333</v>
      </c>
      <c r="E125" s="378">
        <f>E118</f>
        <v>6.7166666666666668</v>
      </c>
      <c r="F125" s="378">
        <f>F118</f>
        <v>10.8</v>
      </c>
    </row>
    <row r="126" spans="1:13" ht="16" customHeight="1" x14ac:dyDescent="0.2">
      <c r="A126" s="68"/>
      <c r="B126" s="162"/>
      <c r="C126" s="162"/>
      <c r="D126" s="211"/>
      <c r="E126" s="211"/>
      <c r="F126" s="211"/>
    </row>
    <row r="127" spans="1:13" ht="16" customHeight="1" x14ac:dyDescent="0.2">
      <c r="A127" s="174" t="s">
        <v>208</v>
      </c>
      <c r="B127" s="162"/>
      <c r="C127" s="162"/>
      <c r="D127" s="515">
        <f>D115/D121</f>
        <v>1.8634656380859422</v>
      </c>
      <c r="E127" s="515">
        <f>E115/E121</f>
        <v>0</v>
      </c>
      <c r="F127" s="515">
        <f>F115/F121</f>
        <v>0</v>
      </c>
    </row>
    <row r="128" spans="1:13" ht="16" customHeight="1" x14ac:dyDescent="0.2">
      <c r="A128" s="174" t="s">
        <v>209</v>
      </c>
      <c r="B128" s="162"/>
      <c r="C128" s="162"/>
      <c r="D128" s="320">
        <f>D121-D115</f>
        <v>-44.01972</v>
      </c>
      <c r="E128" s="320">
        <f>E121-E115</f>
        <v>130.03198</v>
      </c>
      <c r="F128" s="320">
        <f>F121-F115</f>
        <v>209.08368000000002</v>
      </c>
    </row>
    <row r="129" spans="1:13" ht="16" customHeight="1" x14ac:dyDescent="0.2"/>
    <row r="130" spans="1:13" ht="16" customHeight="1" x14ac:dyDescent="0.2">
      <c r="A130" s="247" t="s">
        <v>712</v>
      </c>
    </row>
    <row r="131" spans="1:13" ht="16" customHeight="1" outlineLevel="1" x14ac:dyDescent="0.2">
      <c r="A131" s="9" t="s">
        <v>210</v>
      </c>
      <c r="B131" s="162"/>
      <c r="C131" s="382"/>
      <c r="D131" s="496">
        <f>D121</f>
        <v>50.98028</v>
      </c>
      <c r="E131" s="496">
        <f>E121</f>
        <v>130.03198</v>
      </c>
      <c r="F131" s="496">
        <f>F121</f>
        <v>209.08368000000002</v>
      </c>
    </row>
    <row r="132" spans="1:13" ht="16" customHeight="1" outlineLevel="1" x14ac:dyDescent="0.2">
      <c r="A132" s="18" t="s">
        <v>211</v>
      </c>
      <c r="B132" s="384"/>
      <c r="C132" s="385"/>
      <c r="D132" s="497">
        <f>D9</f>
        <v>18</v>
      </c>
      <c r="E132" s="497">
        <f>E9</f>
        <v>55</v>
      </c>
      <c r="F132" s="497">
        <f>F9</f>
        <v>102</v>
      </c>
    </row>
    <row r="133" spans="1:13" ht="16" customHeight="1" outlineLevel="1" x14ac:dyDescent="0.2">
      <c r="A133" s="8" t="s">
        <v>707</v>
      </c>
      <c r="B133" s="386"/>
      <c r="C133" s="387"/>
      <c r="D133" s="311">
        <f>IFERROR(1-D131/D132,"n/m")</f>
        <v>-1.8322377777777779</v>
      </c>
      <c r="E133" s="311">
        <f>IFERROR(1-E131/E132,"n/m")</f>
        <v>-1.3642178181818183</v>
      </c>
      <c r="F133" s="311">
        <f>IFERROR(1-F131/F132,"n/m")</f>
        <v>-1.0498400000000001</v>
      </c>
    </row>
    <row r="134" spans="1:13" ht="16" customHeight="1" outlineLevel="1" x14ac:dyDescent="0.2">
      <c r="A134" s="494" t="s">
        <v>708</v>
      </c>
      <c r="B134"/>
      <c r="C134"/>
      <c r="D134" s="495">
        <f>IFERROR(1-D123/D132,"n/m")</f>
        <v>4.1724060150375886E-2</v>
      </c>
      <c r="E134" s="495">
        <f>IFERROR(1-E123/E132,"n/m")</f>
        <v>0.20007667805878315</v>
      </c>
      <c r="F134" s="495">
        <f>IFERROR(1-F123/F132,"n/m")</f>
        <v>0.30644511278195474</v>
      </c>
    </row>
    <row r="135" spans="1:13" ht="16" customHeight="1" outlineLevel="1" x14ac:dyDescent="0.2">
      <c r="A135" s="8" t="s">
        <v>212</v>
      </c>
      <c r="B135" s="386"/>
      <c r="C135" s="387"/>
      <c r="D135" s="422">
        <f>D15</f>
        <v>0.54500000000000004</v>
      </c>
      <c r="E135" s="422">
        <f>E15</f>
        <v>0.65749999999999997</v>
      </c>
      <c r="F135" s="422">
        <f>F15</f>
        <v>0.77</v>
      </c>
    </row>
    <row r="136" spans="1:13" ht="16" customHeight="1" outlineLevel="1" x14ac:dyDescent="0.2">
      <c r="A136" s="68" t="s">
        <v>709</v>
      </c>
      <c r="B136" s="379"/>
      <c r="C136" s="383"/>
      <c r="D136" s="234">
        <f>IFERROR(D134-D135,"n/m")</f>
        <v>-0.50327593984962415</v>
      </c>
      <c r="E136" s="234">
        <f>IFERROR(E134-E135,"n/m")</f>
        <v>-0.45742332194121682</v>
      </c>
      <c r="F136" s="234">
        <f>IFERROR(F134-F135,"n/m")</f>
        <v>-0.46355488721804528</v>
      </c>
      <c r="M136" s="178" t="s">
        <v>710</v>
      </c>
    </row>
    <row r="137" spans="1:13" ht="16" customHeight="1" x14ac:dyDescent="0.2"/>
    <row r="138" spans="1:13" ht="16" customHeight="1" x14ac:dyDescent="0.2">
      <c r="A138" s="317" t="s">
        <v>213</v>
      </c>
      <c r="B138" s="313"/>
      <c r="C138" s="314"/>
      <c r="D138" s="313"/>
      <c r="E138" s="313"/>
      <c r="F138" s="313"/>
      <c r="G138" s="313"/>
      <c r="H138" s="313"/>
      <c r="I138" s="313"/>
      <c r="J138" s="313"/>
      <c r="K138" s="313"/>
    </row>
    <row r="139" spans="1:13" ht="16" customHeight="1" x14ac:dyDescent="0.2">
      <c r="A139" s="315" t="s">
        <v>214</v>
      </c>
      <c r="B139" s="312"/>
      <c r="C139" s="312"/>
      <c r="D139" s="312"/>
      <c r="E139" s="312"/>
      <c r="F139" s="312"/>
      <c r="G139" s="312"/>
      <c r="H139" s="312"/>
      <c r="I139" s="312"/>
      <c r="J139" s="312"/>
      <c r="K139" s="312"/>
    </row>
    <row r="140" spans="1:13" ht="16" customHeight="1" x14ac:dyDescent="0.15">
      <c r="A140" s="441">
        <v>2025</v>
      </c>
      <c r="B140" s="442"/>
      <c r="C140" s="442"/>
      <c r="D140" s="442"/>
      <c r="E140" s="442"/>
      <c r="L140" s="2"/>
    </row>
    <row r="141" spans="1:13" ht="16" customHeight="1" x14ac:dyDescent="0.15">
      <c r="A141" s="443" t="s">
        <v>215</v>
      </c>
      <c r="B141" s="443" t="s">
        <v>216</v>
      </c>
      <c r="C141" s="443" t="s">
        <v>217</v>
      </c>
      <c r="D141" s="443" t="s">
        <v>218</v>
      </c>
      <c r="E141" s="443" t="s">
        <v>219</v>
      </c>
      <c r="L141" s="2"/>
    </row>
    <row r="142" spans="1:13" ht="16" customHeight="1" x14ac:dyDescent="0.15">
      <c r="A142" s="9" t="s">
        <v>220</v>
      </c>
      <c r="B142" s="334">
        <v>540</v>
      </c>
      <c r="C142" s="335">
        <v>5</v>
      </c>
      <c r="D142" s="209">
        <f>B142*C142/1000</f>
        <v>2.7</v>
      </c>
      <c r="E142" s="295">
        <f>IFERROR(D142/$D$146,"")</f>
        <v>0.60013336296954889</v>
      </c>
      <c r="L142" s="2"/>
    </row>
    <row r="143" spans="1:13" ht="16" customHeight="1" x14ac:dyDescent="0.15">
      <c r="A143" s="9" t="s">
        <v>221</v>
      </c>
      <c r="B143" s="336">
        <v>3000</v>
      </c>
      <c r="C143" s="337">
        <v>333</v>
      </c>
      <c r="D143" s="209">
        <f>B143*C143/1000000</f>
        <v>0.999</v>
      </c>
      <c r="E143" s="295">
        <f>IFERROR(D143/$D$146,"")</f>
        <v>0.22204934429873308</v>
      </c>
      <c r="L143" s="2"/>
    </row>
    <row r="144" spans="1:13" ht="16" customHeight="1" x14ac:dyDescent="0.2">
      <c r="A144" s="9" t="s">
        <v>222</v>
      </c>
      <c r="B144" s="338">
        <v>1</v>
      </c>
      <c r="C144" s="339">
        <v>0.5</v>
      </c>
      <c r="D144" s="209">
        <f>B144*C144</f>
        <v>0.5</v>
      </c>
      <c r="E144" s="295">
        <f>IFERROR(D144/$D$146,"")</f>
        <v>0.11113580795732386</v>
      </c>
    </row>
    <row r="145" spans="1:13" ht="16" customHeight="1" x14ac:dyDescent="0.2">
      <c r="A145" s="18" t="s">
        <v>223</v>
      </c>
      <c r="B145" s="340">
        <v>1</v>
      </c>
      <c r="C145" s="341">
        <v>25</v>
      </c>
      <c r="D145" s="209">
        <f>B145*C145*12/1000</f>
        <v>0.3</v>
      </c>
      <c r="E145" s="295">
        <f>IFERROR(D145/$D$146,"")</f>
        <v>6.6681484774394312E-2</v>
      </c>
    </row>
    <row r="146" spans="1:13" ht="16" customHeight="1" x14ac:dyDescent="0.2">
      <c r="A146" s="8" t="s">
        <v>224</v>
      </c>
      <c r="D146" s="342">
        <f>SUM(D142:D145)</f>
        <v>4.4989999999999997</v>
      </c>
      <c r="E146" s="343">
        <f>SUM(E142:E145)</f>
        <v>1.0000000000000002</v>
      </c>
    </row>
    <row r="147" spans="1:13" ht="16" customHeight="1" x14ac:dyDescent="0.2">
      <c r="A147" s="9" t="s">
        <v>225</v>
      </c>
      <c r="D147" s="209">
        <f>C9</f>
        <v>4.5</v>
      </c>
    </row>
    <row r="148" spans="1:13" ht="16" customHeight="1" x14ac:dyDescent="0.2">
      <c r="A148" s="9" t="s">
        <v>226</v>
      </c>
      <c r="D148" s="344">
        <f>D146-D147</f>
        <v>-1.000000000000334E-3</v>
      </c>
    </row>
    <row r="149" spans="1:13" ht="16" customHeight="1" x14ac:dyDescent="0.2">
      <c r="A149" s="68" t="s">
        <v>76</v>
      </c>
      <c r="D149" s="345">
        <f>IFERROR(D148/D147,"n/m")</f>
        <v>-2.2222222222229645E-4</v>
      </c>
    </row>
    <row r="150" spans="1:13" ht="16" customHeight="1" x14ac:dyDescent="0.2"/>
    <row r="151" spans="1:13" ht="16" customHeight="1" x14ac:dyDescent="0.2">
      <c r="A151" s="134" t="s">
        <v>227</v>
      </c>
      <c r="B151" s="136"/>
      <c r="C151" s="136"/>
      <c r="D151" s="136"/>
      <c r="E151" s="136"/>
    </row>
    <row r="152" spans="1:13" ht="16" customHeight="1" x14ac:dyDescent="0.2">
      <c r="A152" s="9" t="s">
        <v>228</v>
      </c>
      <c r="D152" s="155">
        <f>B142/12</f>
        <v>45</v>
      </c>
    </row>
    <row r="153" spans="1:13" ht="16" customHeight="1" x14ac:dyDescent="0.2">
      <c r="A153" s="9" t="s">
        <v>229</v>
      </c>
      <c r="D153" s="135">
        <f>C16</f>
        <v>0.38</v>
      </c>
    </row>
    <row r="154" spans="1:13" ht="16" customHeight="1" x14ac:dyDescent="0.2">
      <c r="A154" s="9" t="s">
        <v>230</v>
      </c>
      <c r="D154" s="156">
        <f>C145*12</f>
        <v>300</v>
      </c>
    </row>
    <row r="155" spans="1:13" ht="16" customHeight="1" x14ac:dyDescent="0.2">
      <c r="A155" s="9" t="s">
        <v>231</v>
      </c>
      <c r="D155" s="158">
        <v>24</v>
      </c>
    </row>
    <row r="156" spans="1:13" ht="16" customHeight="1" x14ac:dyDescent="0.2">
      <c r="A156" s="68" t="s">
        <v>232</v>
      </c>
      <c r="D156" s="144">
        <f>IFERROR(B145/D155,"n/m")</f>
        <v>4.1666666666666664E-2</v>
      </c>
    </row>
    <row r="157" spans="1:13" ht="16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ht="16" customHeight="1" x14ac:dyDescent="0.2">
      <c r="A158" s="26" t="s">
        <v>233</v>
      </c>
      <c r="B158" s="27"/>
      <c r="C158" s="27"/>
      <c r="D158" s="27"/>
      <c r="E158" s="27"/>
    </row>
    <row r="159" spans="1:13" ht="30" x14ac:dyDescent="0.2">
      <c r="A159" s="444" t="s">
        <v>234</v>
      </c>
      <c r="B159" s="445" t="s">
        <v>235</v>
      </c>
      <c r="C159" s="445" t="s">
        <v>236</v>
      </c>
      <c r="D159" s="445" t="s">
        <v>237</v>
      </c>
      <c r="E159" s="445" t="s">
        <v>238</v>
      </c>
    </row>
    <row r="160" spans="1:13" ht="16" customHeight="1" x14ac:dyDescent="0.2">
      <c r="A160" s="446">
        <f>EOMONTH(DATE(2024,1,1),0)</f>
        <v>45322</v>
      </c>
      <c r="B160" s="319">
        <v>8.6999999999999994E-2</v>
      </c>
      <c r="C160" s="447">
        <f t="array" ref="C160">IF($B160&lt;&gt;"",$B160,IFERROR(LOOKUP(2,1/($B$160:$B160&lt;&gt;""),$B$160:$B160)+(INDEX($B161:$B$195,MATCH(TRUE,INDEX(($B161:$B$195&lt;&gt;""),0),0))-LOOKUP(2,1/($B$160:$B160&lt;&gt;""),$B$160:$B160))*($A160-LOOKUP(2,1/($B$160:$B160&lt;&gt;""),$A$160:$A160))/(INDEX($A161:$A$195,MATCH(TRUE,INDEX(($B161:$B$195&lt;&gt;""),0),0))-LOOKUP(2,1/($B$160:$B160&lt;&gt;""),$A$160:$A160)),""))</f>
        <v>8.6999999999999994E-2</v>
      </c>
      <c r="D160" s="447">
        <f>IF($C160="","",$C160)</f>
        <v>8.6999999999999994E-2</v>
      </c>
      <c r="E160" s="447">
        <f t="shared" ref="E160:E195" si="3">IF($D160="","",$D160/12)</f>
        <v>7.2499999999999995E-3</v>
      </c>
    </row>
    <row r="161" spans="1:5" ht="16" customHeight="1" x14ac:dyDescent="0.2">
      <c r="A161" s="446">
        <f t="shared" ref="A161:A170" si="4">EOMONTH(A160,1)</f>
        <v>45351</v>
      </c>
      <c r="B161" s="448"/>
      <c r="C161" s="447">
        <f t="array" ref="C161">IF($B161&lt;&gt;"",$B161,IFERROR(LOOKUP(2,1/($B$160:$B161&lt;&gt;""),$B$160:$B161)+(INDEX($B162:$B$195,MATCH(TRUE,INDEX(($B162:$B$195&lt;&gt;""),0),0))-LOOKUP(2,1/($B$160:$B161&lt;&gt;""),$B$160:$B161))*($A161-LOOKUP(2,1/($B$160:$B161&lt;&gt;""),$A$160:$A161))/(INDEX($A162:$A$195,MATCH(TRUE,INDEX(($B162:$B$195&lt;&gt;""),0),0))-LOOKUP(2,1/($B$160:$B161&lt;&gt;""),$A$160:$A161)),""))</f>
        <v>0.16603582089552238</v>
      </c>
      <c r="D161" s="447">
        <f t="shared" ref="D161:D195" si="5">IF(OR($C160="",$C161=""),"",($C160+$C161)/2)</f>
        <v>0.12651791044776117</v>
      </c>
      <c r="E161" s="447">
        <f t="shared" si="3"/>
        <v>1.0543159203980098E-2</v>
      </c>
    </row>
    <row r="162" spans="1:5" ht="16" customHeight="1" x14ac:dyDescent="0.2">
      <c r="A162" s="446">
        <f t="shared" si="4"/>
        <v>45382</v>
      </c>
      <c r="B162" s="448"/>
      <c r="C162" s="447">
        <f t="array" ref="C162">IF($B162&lt;&gt;"",$B162,IFERROR(LOOKUP(2,1/($B$160:$B162&lt;&gt;""),$B$160:$B162)+(INDEX($B163:$B$195,MATCH(TRUE,INDEX(($B163:$B$195&lt;&gt;""),0),0))-LOOKUP(2,1/($B$160:$B162&lt;&gt;""),$B$160:$B162))*($A162-LOOKUP(2,1/($B$160:$B162&lt;&gt;""),$A$160:$A162))/(INDEX($A163:$A$195,MATCH(TRUE,INDEX(($B163:$B$195&lt;&gt;""),0),0))-LOOKUP(2,1/($B$160:$B162&lt;&gt;""),$A$160:$A162)),""))</f>
        <v>0.25052238805970151</v>
      </c>
      <c r="D162" s="447">
        <f t="shared" si="5"/>
        <v>0.20827910447761194</v>
      </c>
      <c r="E162" s="447">
        <f t="shared" si="3"/>
        <v>1.7356592039800996E-2</v>
      </c>
    </row>
    <row r="163" spans="1:5" ht="16" customHeight="1" x14ac:dyDescent="0.2">
      <c r="A163" s="446">
        <f t="shared" si="4"/>
        <v>45412</v>
      </c>
      <c r="B163" s="448"/>
      <c r="C163" s="447">
        <f t="array" ref="C163">IF($B163&lt;&gt;"",$B163,IFERROR(LOOKUP(2,1/($B$160:$B163&lt;&gt;""),$B$160:$B163)+(INDEX($B164:$B$195,MATCH(TRUE,INDEX(($B164:$B$195&lt;&gt;""),0),0))-LOOKUP(2,1/($B$160:$B163&lt;&gt;""),$B$160:$B163))*($A163-LOOKUP(2,1/($B$160:$B163&lt;&gt;""),$A$160:$A163))/(INDEX($A164:$A$195,MATCH(TRUE,INDEX(($B164:$B$195&lt;&gt;""),0),0))-LOOKUP(2,1/($B$160:$B163&lt;&gt;""),$A$160:$A163)),""))</f>
        <v>0.33228358208955222</v>
      </c>
      <c r="D163" s="447">
        <f t="shared" si="5"/>
        <v>0.29140298507462686</v>
      </c>
      <c r="E163" s="447">
        <f t="shared" si="3"/>
        <v>2.4283582089552239E-2</v>
      </c>
    </row>
    <row r="164" spans="1:5" ht="16" customHeight="1" x14ac:dyDescent="0.2">
      <c r="A164" s="446">
        <f t="shared" si="4"/>
        <v>45443</v>
      </c>
      <c r="B164" s="448"/>
      <c r="C164" s="447">
        <f t="array" ref="C164">IF($B164&lt;&gt;"",$B164,IFERROR(LOOKUP(2,1/($B$160:$B164&lt;&gt;""),$B$160:$B164)+(INDEX($B165:$B$195,MATCH(TRUE,INDEX(($B165:$B$195&lt;&gt;""),0),0))-LOOKUP(2,1/($B$160:$B164&lt;&gt;""),$B$160:$B164))*($A164-LOOKUP(2,1/($B$160:$B164&lt;&gt;""),$A$160:$A164))/(INDEX($A165:$A$195,MATCH(TRUE,INDEX(($B165:$B$195&lt;&gt;""),0),0))-LOOKUP(2,1/($B$160:$B164&lt;&gt;""),$A$160:$A164)),""))</f>
        <v>0.41677014925373135</v>
      </c>
      <c r="D164" s="447">
        <f t="shared" si="5"/>
        <v>0.37452686567164178</v>
      </c>
      <c r="E164" s="447">
        <f t="shared" si="3"/>
        <v>3.1210572139303481E-2</v>
      </c>
    </row>
    <row r="165" spans="1:5" ht="16" customHeight="1" x14ac:dyDescent="0.2">
      <c r="A165" s="446">
        <f t="shared" si="4"/>
        <v>45473</v>
      </c>
      <c r="B165" s="448"/>
      <c r="C165" s="447">
        <f t="array" ref="C165">IF($B165&lt;&gt;"",$B165,IFERROR(LOOKUP(2,1/($B$160:$B165&lt;&gt;""),$B$160:$B165)+(INDEX($B166:$B$195,MATCH(TRUE,INDEX(($B166:$B$195&lt;&gt;""),0),0))-LOOKUP(2,1/($B$160:$B165&lt;&gt;""),$B$160:$B165))*($A165-LOOKUP(2,1/($B$160:$B165&lt;&gt;""),$A$160:$A165))/(INDEX($A166:$A$195,MATCH(TRUE,INDEX(($B166:$B$195&lt;&gt;""),0),0))-LOOKUP(2,1/($B$160:$B165&lt;&gt;""),$A$160:$A165)),""))</f>
        <v>0.49853134328358206</v>
      </c>
      <c r="D165" s="447">
        <f t="shared" si="5"/>
        <v>0.45765074626865671</v>
      </c>
      <c r="E165" s="447">
        <f t="shared" si="3"/>
        <v>3.8137562189054723E-2</v>
      </c>
    </row>
    <row r="166" spans="1:5" ht="16" customHeight="1" x14ac:dyDescent="0.2">
      <c r="A166" s="446">
        <f t="shared" si="4"/>
        <v>45504</v>
      </c>
      <c r="B166" s="448"/>
      <c r="C166" s="447">
        <f t="array" ref="C166">IF($B166&lt;&gt;"",$B166,IFERROR(LOOKUP(2,1/($B$160:$B166&lt;&gt;""),$B$160:$B166)+(INDEX($B167:$B$195,MATCH(TRUE,INDEX(($B167:$B$195&lt;&gt;""),0),0))-LOOKUP(2,1/($B$160:$B166&lt;&gt;""),$B$160:$B166))*($A166-LOOKUP(2,1/($B$160:$B166&lt;&gt;""),$A$160:$A166))/(INDEX($A167:$A$195,MATCH(TRUE,INDEX(($B167:$B$195&lt;&gt;""),0),0))-LOOKUP(2,1/($B$160:$B166&lt;&gt;""),$A$160:$A166)),""))</f>
        <v>0.58301791044776119</v>
      </c>
      <c r="D166" s="447">
        <f t="shared" si="5"/>
        <v>0.54077462686567168</v>
      </c>
      <c r="E166" s="447">
        <f t="shared" si="3"/>
        <v>4.5064552238805976E-2</v>
      </c>
    </row>
    <row r="167" spans="1:5" ht="16" customHeight="1" x14ac:dyDescent="0.2">
      <c r="A167" s="446">
        <f t="shared" si="4"/>
        <v>45535</v>
      </c>
      <c r="B167" s="448"/>
      <c r="C167" s="447">
        <f t="array" ref="C167">IF($B167&lt;&gt;"",$B167,IFERROR(LOOKUP(2,1/($B$160:$B167&lt;&gt;""),$B$160:$B167)+(INDEX($B168:$B$195,MATCH(TRUE,INDEX(($B168:$B$195&lt;&gt;""),0),0))-LOOKUP(2,1/($B$160:$B167&lt;&gt;""),$B$160:$B167))*($A167-LOOKUP(2,1/($B$160:$B167&lt;&gt;""),$A$160:$A167))/(INDEX($A168:$A$195,MATCH(TRUE,INDEX(($B168:$B$195&lt;&gt;""),0),0))-LOOKUP(2,1/($B$160:$B167&lt;&gt;""),$A$160:$A167)),""))</f>
        <v>0.66750447761194021</v>
      </c>
      <c r="D167" s="447">
        <f t="shared" si="5"/>
        <v>0.6252611940298507</v>
      </c>
      <c r="E167" s="447">
        <f t="shared" si="3"/>
        <v>5.210509950248756E-2</v>
      </c>
    </row>
    <row r="168" spans="1:5" ht="16" customHeight="1" x14ac:dyDescent="0.2">
      <c r="A168" s="446">
        <f t="shared" si="4"/>
        <v>45565</v>
      </c>
      <c r="B168" s="448"/>
      <c r="C168" s="447">
        <f t="array" ref="C168">IF($B168&lt;&gt;"",$B168,IFERROR(LOOKUP(2,1/($B$160:$B168&lt;&gt;""),$B$160:$B168)+(INDEX($B169:$B$195,MATCH(TRUE,INDEX(($B169:$B$195&lt;&gt;""),0),0))-LOOKUP(2,1/($B$160:$B168&lt;&gt;""),$B$160:$B168))*($A168-LOOKUP(2,1/($B$160:$B168&lt;&gt;""),$A$160:$A168))/(INDEX($A169:$A$195,MATCH(TRUE,INDEX(($B169:$B$195&lt;&gt;""),0),0))-LOOKUP(2,1/($B$160:$B168&lt;&gt;""),$A$160:$A168)),""))</f>
        <v>0.74926567164179103</v>
      </c>
      <c r="D168" s="447">
        <f t="shared" si="5"/>
        <v>0.70838507462686562</v>
      </c>
      <c r="E168" s="447">
        <f t="shared" si="3"/>
        <v>5.9032089552238799E-2</v>
      </c>
    </row>
    <row r="169" spans="1:5" ht="16" customHeight="1" x14ac:dyDescent="0.2">
      <c r="A169" s="446">
        <f t="shared" si="4"/>
        <v>45596</v>
      </c>
      <c r="B169" s="448"/>
      <c r="C169" s="447">
        <f t="array" ref="C169">IF($B169&lt;&gt;"",$B169,IFERROR(LOOKUP(2,1/($B$160:$B169&lt;&gt;""),$B$160:$B169)+(INDEX($B170:$B$195,MATCH(TRUE,INDEX(($B170:$B$195&lt;&gt;""),0),0))-LOOKUP(2,1/($B$160:$B169&lt;&gt;""),$B$160:$B169))*($A169-LOOKUP(2,1/($B$160:$B169&lt;&gt;""),$A$160:$A169))/(INDEX($A170:$A$195,MATCH(TRUE,INDEX(($B170:$B$195&lt;&gt;""),0),0))-LOOKUP(2,1/($B$160:$B169&lt;&gt;""),$A$160:$A169)),""))</f>
        <v>0.83375223880597016</v>
      </c>
      <c r="D169" s="447">
        <f t="shared" si="5"/>
        <v>0.79150895522388054</v>
      </c>
      <c r="E169" s="447">
        <f t="shared" si="3"/>
        <v>6.5959079601990045E-2</v>
      </c>
    </row>
    <row r="170" spans="1:5" ht="16" customHeight="1" x14ac:dyDescent="0.2">
      <c r="A170" s="446">
        <f t="shared" si="4"/>
        <v>45626</v>
      </c>
      <c r="B170" s="448"/>
      <c r="C170" s="447">
        <f t="array" ref="C170">IF($B170&lt;&gt;"",$B170,IFERROR(LOOKUP(2,1/($B$160:$B170&lt;&gt;""),$B$160:$B170)+(INDEX($B171:$B$195,MATCH(TRUE,INDEX(($B171:$B$195&lt;&gt;""),0),0))-LOOKUP(2,1/($B$160:$B170&lt;&gt;""),$B$160:$B170))*($A170-LOOKUP(2,1/($B$160:$B170&lt;&gt;""),$A$160:$A170))/(INDEX($A171:$A$195,MATCH(TRUE,INDEX(($B171:$B$195&lt;&gt;""),0),0))-LOOKUP(2,1/($B$160:$B170&lt;&gt;""),$A$160:$A170)),""))</f>
        <v>0.91551343283582087</v>
      </c>
      <c r="D170" s="447">
        <f t="shared" si="5"/>
        <v>0.87463283582089546</v>
      </c>
      <c r="E170" s="447">
        <f t="shared" si="3"/>
        <v>7.2886069651741284E-2</v>
      </c>
    </row>
    <row r="171" spans="1:5" ht="16" customHeight="1" x14ac:dyDescent="0.2">
      <c r="A171" s="446">
        <v>45657</v>
      </c>
      <c r="B171" s="319">
        <v>1</v>
      </c>
      <c r="C171" s="447">
        <f t="array" ref="C171">IF($B171&lt;&gt;"",$B171,IFERROR(LOOKUP(2,1/($B$160:$B171&lt;&gt;""),$B$160:$B171)+(INDEX($B172:$B$195,MATCH(TRUE,INDEX(($B172:$B$195&lt;&gt;""),0),0))-LOOKUP(2,1/($B$160:$B171&lt;&gt;""),$B$160:$B171))*($A171-LOOKUP(2,1/($B$160:$B171&lt;&gt;""),$A$160:$A171))/(INDEX($A172:$A$195,MATCH(TRUE,INDEX(($B172:$B$195&lt;&gt;""),0),0))-LOOKUP(2,1/($B$160:$B171&lt;&gt;""),$A$160:$A171)),""))</f>
        <v>1</v>
      </c>
      <c r="D171" s="447">
        <f t="shared" si="5"/>
        <v>0.95775671641791038</v>
      </c>
      <c r="E171" s="447">
        <f t="shared" si="3"/>
        <v>7.9813059701492536E-2</v>
      </c>
    </row>
    <row r="172" spans="1:5" ht="16" customHeight="1" x14ac:dyDescent="0.2">
      <c r="A172" s="446">
        <f t="shared" ref="A172:A195" si="6">EOMONTH(A171,1)</f>
        <v>45688</v>
      </c>
      <c r="B172" s="449">
        <f>'Ed Zitron Work'!C4/1000</f>
        <v>1</v>
      </c>
      <c r="C172" s="447">
        <f t="array" ref="C172">IF($B172&lt;&gt;"",$B172,IFERROR(LOOKUP(2,1/($B$160:$B172&lt;&gt;""),$B$160:$B172)+(INDEX($B173:$B$195,MATCH(TRUE,INDEX(($B173:$B$195&lt;&gt;""),0),0))-LOOKUP(2,1/($B$160:$B172&lt;&gt;""),$B$160:$B172))*($A172-LOOKUP(2,1/($B$160:$B172&lt;&gt;""),$A$160:$A172))/(INDEX($A173:$A$195,MATCH(TRUE,INDEX(($B173:$B$195&lt;&gt;""),0),0))-LOOKUP(2,1/($B$160:$B172&lt;&gt;""),$A$160:$A172)),""))</f>
        <v>1</v>
      </c>
      <c r="D172" s="447">
        <f t="shared" si="5"/>
        <v>1</v>
      </c>
      <c r="E172" s="447">
        <f t="shared" si="3"/>
        <v>8.3333333333333329E-2</v>
      </c>
    </row>
    <row r="173" spans="1:5" ht="16" customHeight="1" x14ac:dyDescent="0.2">
      <c r="A173" s="446">
        <f t="shared" si="6"/>
        <v>45716</v>
      </c>
      <c r="B173" s="319"/>
      <c r="C173" s="447">
        <f t="array" ref="C173">IF($B173&lt;&gt;"",$B173,IFERROR(LOOKUP(2,1/($B$160:$B173&lt;&gt;""),$B$160:$B173)+(INDEX($B174:$B$195,MATCH(TRUE,INDEX(($B174:$B$195&lt;&gt;""),0),0))-LOOKUP(2,1/($B$160:$B173&lt;&gt;""),$B$160:$B173))*($A173-LOOKUP(2,1/($B$160:$B173&lt;&gt;""),$A$160:$A173))/(INDEX($A174:$A$195,MATCH(TRUE,INDEX(($B174:$B$195&lt;&gt;""),0),0))-LOOKUP(2,1/($B$160:$B173&lt;&gt;""),$A$160:$A173)),""))</f>
        <v>1.1898305084745762</v>
      </c>
      <c r="D173" s="447">
        <f t="shared" si="5"/>
        <v>1.094915254237288</v>
      </c>
      <c r="E173" s="447">
        <f t="shared" si="3"/>
        <v>9.1242937853107331E-2</v>
      </c>
    </row>
    <row r="174" spans="1:5" ht="16" customHeight="1" x14ac:dyDescent="0.2">
      <c r="A174" s="446">
        <f t="shared" si="6"/>
        <v>45747</v>
      </c>
      <c r="B174" s="449">
        <f>'Ed Zitron Work'!C5/1000</f>
        <v>1.4</v>
      </c>
      <c r="C174" s="447">
        <f t="array" ref="C174">IF($B174&lt;&gt;"",$B174,IFERROR(LOOKUP(2,1/($B$160:$B174&lt;&gt;""),$B$160:$B174)+(INDEX($B175:$B$195,MATCH(TRUE,INDEX(($B175:$B$195&lt;&gt;""),0),0))-LOOKUP(2,1/($B$160:$B174&lt;&gt;""),$B$160:$B174))*($A174-LOOKUP(2,1/($B$160:$B174&lt;&gt;""),$A$160:$A174))/(INDEX($A175:$A$195,MATCH(TRUE,INDEX(($B175:$B$195&lt;&gt;""),0),0))-LOOKUP(2,1/($B$160:$B174&lt;&gt;""),$A$160:$A174)),""))</f>
        <v>1.4</v>
      </c>
      <c r="D174" s="447">
        <f t="shared" si="5"/>
        <v>1.2949152542372881</v>
      </c>
      <c r="E174" s="447">
        <f t="shared" si="3"/>
        <v>0.10790960451977401</v>
      </c>
    </row>
    <row r="175" spans="1:5" ht="16" customHeight="1" x14ac:dyDescent="0.2">
      <c r="A175" s="446">
        <f t="shared" si="6"/>
        <v>45777</v>
      </c>
      <c r="B175" s="449"/>
      <c r="C175" s="447">
        <f t="array" ref="C175">IF($B175&lt;&gt;"",$B175,IFERROR(LOOKUP(2,1/($B$160:$B175&lt;&gt;""),$B$160:$B175)+(INDEX($B176:$B$195,MATCH(TRUE,INDEX(($B176:$B$195&lt;&gt;""),0),0))-LOOKUP(2,1/($B$160:$B175&lt;&gt;""),$B$160:$B175))*($A175-LOOKUP(2,1/($B$160:$B175&lt;&gt;""),$A$160:$A175))/(INDEX($A176:$A$195,MATCH(TRUE,INDEX(($B176:$B$195&lt;&gt;""),0),0))-LOOKUP(2,1/($B$160:$B175&lt;&gt;""),$A$160:$A175)),""))</f>
        <v>2.1868852459016392</v>
      </c>
      <c r="D175" s="447">
        <f t="shared" si="5"/>
        <v>1.7934426229508196</v>
      </c>
      <c r="E175" s="447">
        <f t="shared" si="3"/>
        <v>0.14945355191256829</v>
      </c>
    </row>
    <row r="176" spans="1:5" ht="16" customHeight="1" x14ac:dyDescent="0.2">
      <c r="A176" s="446">
        <f t="shared" si="6"/>
        <v>45808</v>
      </c>
      <c r="B176" s="449">
        <f>'Ed Zitron Work'!C7/1000</f>
        <v>3</v>
      </c>
      <c r="C176" s="447">
        <f t="array" ref="C176">IF($B176&lt;&gt;"",$B176,IFERROR(LOOKUP(2,1/($B$160:$B176&lt;&gt;""),$B$160:$B176)+(INDEX($B177:$B$195,MATCH(TRUE,INDEX(($B177:$B$195&lt;&gt;""),0),0))-LOOKUP(2,1/($B$160:$B176&lt;&gt;""),$B$160:$B176))*($A176-LOOKUP(2,1/($B$160:$B176&lt;&gt;""),$A$160:$A176))/(INDEX($A177:$A$195,MATCH(TRUE,INDEX(($B177:$B$195&lt;&gt;""),0),0))-LOOKUP(2,1/($B$160:$B176&lt;&gt;""),$A$160:$A176)),""))</f>
        <v>3</v>
      </c>
      <c r="D176" s="447">
        <f t="shared" si="5"/>
        <v>2.5934426229508194</v>
      </c>
      <c r="E176" s="447">
        <f t="shared" si="3"/>
        <v>0.21612021857923494</v>
      </c>
    </row>
    <row r="177" spans="1:10" ht="16" customHeight="1" x14ac:dyDescent="0.2">
      <c r="A177" s="446">
        <f t="shared" si="6"/>
        <v>45838</v>
      </c>
      <c r="B177" s="449">
        <f>'Ed Zitron Work'!C8/1000</f>
        <v>4</v>
      </c>
      <c r="C177" s="447">
        <f t="array" ref="C177">IF($B177&lt;&gt;"",$B177,IFERROR(LOOKUP(2,1/($B$160:$B177&lt;&gt;""),$B$160:$B177)+(INDEX($B178:$B$195,MATCH(TRUE,INDEX(($B178:$B$195&lt;&gt;""),0),0))-LOOKUP(2,1/($B$160:$B177&lt;&gt;""),$B$160:$B177))*($A177-LOOKUP(2,1/($B$160:$B177&lt;&gt;""),$A$160:$A177))/(INDEX($A178:$A$195,MATCH(TRUE,INDEX(($B178:$B$195&lt;&gt;""),0),0))-LOOKUP(2,1/($B$160:$B177&lt;&gt;""),$A$160:$A177)),""))</f>
        <v>4</v>
      </c>
      <c r="D177" s="447">
        <f t="shared" si="5"/>
        <v>3.5</v>
      </c>
      <c r="E177" s="447">
        <f t="shared" si="3"/>
        <v>0.29166666666666669</v>
      </c>
    </row>
    <row r="178" spans="1:10" ht="16" customHeight="1" x14ac:dyDescent="0.2">
      <c r="A178" s="446">
        <f t="shared" si="6"/>
        <v>45869</v>
      </c>
      <c r="B178" s="449">
        <f>'Ed Zitron Work'!C9/1000</f>
        <v>5</v>
      </c>
      <c r="C178" s="447">
        <f t="array" ref="C178">IF($B178&lt;&gt;"",$B178,IFERROR(LOOKUP(2,1/($B$160:$B178&lt;&gt;""),$B$160:$B178)+(INDEX($B179:$B$195,MATCH(TRUE,INDEX(($B179:$B$195&lt;&gt;""),0),0))-LOOKUP(2,1/($B$160:$B178&lt;&gt;""),$B$160:$B178))*($A178-LOOKUP(2,1/($B$160:$B178&lt;&gt;""),$A$160:$A178))/(INDEX($A179:$A$195,MATCH(TRUE,INDEX(($B179:$B$195&lt;&gt;""),0),0))-LOOKUP(2,1/($B$160:$B178&lt;&gt;""),$A$160:$A178)),""))</f>
        <v>5</v>
      </c>
      <c r="D178" s="447">
        <f t="shared" si="5"/>
        <v>4.5</v>
      </c>
      <c r="E178" s="447">
        <f t="shared" si="3"/>
        <v>0.375</v>
      </c>
    </row>
    <row r="179" spans="1:10" ht="16" customHeight="1" x14ac:dyDescent="0.2">
      <c r="A179" s="446">
        <f t="shared" si="6"/>
        <v>45900</v>
      </c>
      <c r="B179" s="319"/>
      <c r="C179" s="447">
        <f t="array" ref="C179">IF($B179&lt;&gt;"",$B179,IFERROR(LOOKUP(2,1/($B$160:$B179&lt;&gt;""),$B$160:$B179)+(INDEX($B180:$B$195,MATCH(TRUE,INDEX(($B180:$B$195&lt;&gt;""),0),0))-LOOKUP(2,1/($B$160:$B179&lt;&gt;""),$B$160:$B179))*($A179-LOOKUP(2,1/($B$160:$B179&lt;&gt;""),$A$160:$A179))/(INDEX($A180:$A$195,MATCH(TRUE,INDEX(($B180:$B$195&lt;&gt;""),0),0))-LOOKUP(2,1/($B$160:$B179&lt;&gt;""),$A$160:$A179)),""))</f>
        <v>5.6739130434782608</v>
      </c>
      <c r="D179" s="447">
        <f t="shared" si="5"/>
        <v>5.3369565217391308</v>
      </c>
      <c r="E179" s="447">
        <f t="shared" si="3"/>
        <v>0.44474637681159424</v>
      </c>
    </row>
    <row r="180" spans="1:10" ht="16" customHeight="1" x14ac:dyDescent="0.2">
      <c r="A180" s="446">
        <f t="shared" si="6"/>
        <v>45930</v>
      </c>
      <c r="B180" s="449"/>
      <c r="C180" s="447">
        <f t="array" ref="C180">IF($B180&lt;&gt;"",$B180,IFERROR(LOOKUP(2,1/($B$160:$B180&lt;&gt;""),$B$160:$B180)+(INDEX($B181:$B$195,MATCH(TRUE,INDEX(($B181:$B$195&lt;&gt;""),0),0))-LOOKUP(2,1/($B$160:$B180&lt;&gt;""),$B$160:$B180))*($A180-LOOKUP(2,1/($B$160:$B180&lt;&gt;""),$A$160:$A180))/(INDEX($A181:$A$195,MATCH(TRUE,INDEX(($B181:$B$195&lt;&gt;""),0),0))-LOOKUP(2,1/($B$160:$B180&lt;&gt;""),$A$160:$A180)),""))</f>
        <v>6.3260869565217392</v>
      </c>
      <c r="D180" s="447">
        <f t="shared" si="5"/>
        <v>6</v>
      </c>
      <c r="E180" s="447">
        <f t="shared" si="3"/>
        <v>0.5</v>
      </c>
    </row>
    <row r="181" spans="1:10" ht="16" customHeight="1" x14ac:dyDescent="0.2">
      <c r="A181" s="446">
        <f t="shared" si="6"/>
        <v>45961</v>
      </c>
      <c r="B181" s="449">
        <f>'Ed Zitron Work'!C10/1000</f>
        <v>7</v>
      </c>
      <c r="C181" s="447">
        <f t="array" ref="C181">IF($B181&lt;&gt;"",$B181,IFERROR(LOOKUP(2,1/($B$160:$B181&lt;&gt;""),$B$160:$B181)+(INDEX($B182:$B$195,MATCH(TRUE,INDEX(($B182:$B$195&lt;&gt;""),0),0))-LOOKUP(2,1/($B$160:$B181&lt;&gt;""),$B$160:$B181))*($A181-LOOKUP(2,1/($B$160:$B181&lt;&gt;""),$A$160:$A181))/(INDEX($A182:$A$195,MATCH(TRUE,INDEX(($B182:$B$195&lt;&gt;""),0),0))-LOOKUP(2,1/($B$160:$B181&lt;&gt;""),$A$160:$A181)),""))</f>
        <v>7</v>
      </c>
      <c r="D181" s="447">
        <f t="shared" si="5"/>
        <v>6.6630434782608692</v>
      </c>
      <c r="E181" s="447">
        <f t="shared" si="3"/>
        <v>0.55525362318840576</v>
      </c>
    </row>
    <row r="182" spans="1:10" ht="16" customHeight="1" x14ac:dyDescent="0.2">
      <c r="A182" s="446">
        <f t="shared" si="6"/>
        <v>45991</v>
      </c>
      <c r="B182" s="449"/>
      <c r="C182" s="447">
        <f t="array" ref="C182">IF($B182&lt;&gt;"",$B182,IFERROR(LOOKUP(2,1/($B$160:$B182&lt;&gt;""),$B$160:$B182)+(INDEX($B183:$B$195,MATCH(TRUE,INDEX(($B183:$B$195&lt;&gt;""),0),0))-LOOKUP(2,1/($B$160:$B182&lt;&gt;""),$B$160:$B182))*($A182-LOOKUP(2,1/($B$160:$B182&lt;&gt;""),$A$160:$A182))/(INDEX($A183:$A$195,MATCH(TRUE,INDEX(($B183:$B$195&lt;&gt;""),0),0))-LOOKUP(2,1/($B$160:$B182&lt;&gt;""),$A$160:$A182)),""))</f>
        <v>7.9836065573770494</v>
      </c>
      <c r="D182" s="447">
        <f t="shared" si="5"/>
        <v>7.4918032786885247</v>
      </c>
      <c r="E182" s="447">
        <f t="shared" si="3"/>
        <v>0.62431693989071035</v>
      </c>
    </row>
    <row r="183" spans="1:10" ht="16" customHeight="1" x14ac:dyDescent="0.2">
      <c r="A183" s="446">
        <f t="shared" si="6"/>
        <v>46022</v>
      </c>
      <c r="B183" s="449">
        <f>'Ed Zitron Work'!C11/1000</f>
        <v>9</v>
      </c>
      <c r="C183" s="447">
        <f t="array" ref="C183">IF($B183&lt;&gt;"",$B183,IFERROR(LOOKUP(2,1/($B$160:$B183&lt;&gt;""),$B$160:$B183)+(INDEX($B184:$B$195,MATCH(TRUE,INDEX(($B184:$B$195&lt;&gt;""),0),0))-LOOKUP(2,1/($B$160:$B183&lt;&gt;""),$B$160:$B183))*($A183-LOOKUP(2,1/($B$160:$B183&lt;&gt;""),$A$160:$A183))/(INDEX($A184:$A$195,MATCH(TRUE,INDEX(($B184:$B$195&lt;&gt;""),0),0))-LOOKUP(2,1/($B$160:$B183&lt;&gt;""),$A$160:$A183)),""))</f>
        <v>9</v>
      </c>
      <c r="D183" s="447">
        <f t="shared" si="5"/>
        <v>8.4918032786885256</v>
      </c>
      <c r="E183" s="447">
        <f t="shared" si="3"/>
        <v>0.70765027322404384</v>
      </c>
      <c r="H183" s="450" t="s">
        <v>239</v>
      </c>
      <c r="I183" s="390"/>
      <c r="J183" s="390"/>
    </row>
    <row r="184" spans="1:10" ht="16" customHeight="1" x14ac:dyDescent="0.2">
      <c r="A184" s="446">
        <f t="shared" si="6"/>
        <v>46053</v>
      </c>
      <c r="B184" s="449"/>
      <c r="C184" s="447">
        <f t="array" ref="C184">IF($B184&lt;&gt;"",$B184,IFERROR(LOOKUP(2,1/($B$160:$B184&lt;&gt;""),$B$160:$B184)+(INDEX($B185:$B$195,MATCH(TRUE,INDEX(($B185:$B$195&lt;&gt;""),0),0))-LOOKUP(2,1/($B$160:$B184&lt;&gt;""),$B$160:$B184))*($A184-LOOKUP(2,1/($B$160:$B184&lt;&gt;""),$A$160:$A184))/(INDEX($A185:$A$195,MATCH(TRUE,INDEX(($B185:$B$195&lt;&gt;""),0),0))-LOOKUP(2,1/($B$160:$B184&lt;&gt;""),$A$160:$A184)),""))</f>
        <v>11.627118644067796</v>
      </c>
      <c r="D184" s="447">
        <f t="shared" si="5"/>
        <v>10.313559322033898</v>
      </c>
      <c r="E184" s="447">
        <f t="shared" si="3"/>
        <v>0.8594632768361582</v>
      </c>
      <c r="H184" s="9" t="s">
        <v>240</v>
      </c>
      <c r="J184" s="388">
        <f>(C189/C183)^(1/6)-1</f>
        <v>0.37940415559096419</v>
      </c>
    </row>
    <row r="185" spans="1:10" ht="16" customHeight="1" x14ac:dyDescent="0.2">
      <c r="A185" s="446">
        <f t="shared" si="6"/>
        <v>46081</v>
      </c>
      <c r="B185" s="449">
        <f>'Ed Zitron Work'!C12/1000</f>
        <v>14</v>
      </c>
      <c r="C185" s="447">
        <f t="array" ref="C185">IF($B185&lt;&gt;"",$B185,IFERROR(LOOKUP(2,1/($B$160:$B185&lt;&gt;""),$B$160:$B185)+(INDEX($B186:$B$195,MATCH(TRUE,INDEX(($B186:$B$195&lt;&gt;""),0),0))-LOOKUP(2,1/($B$160:$B185&lt;&gt;""),$B$160:$B185))*($A185-LOOKUP(2,1/($B$160:$B185&lt;&gt;""),$A$160:$A185))/(INDEX($A186:$A$195,MATCH(TRUE,INDEX(($B186:$B$195&lt;&gt;""),0),0))-LOOKUP(2,1/($B$160:$B185&lt;&gt;""),$A$160:$A185)),""))</f>
        <v>14</v>
      </c>
      <c r="D185" s="447">
        <f t="shared" si="5"/>
        <v>12.813559322033898</v>
      </c>
      <c r="E185" s="447">
        <f t="shared" si="3"/>
        <v>1.0677966101694916</v>
      </c>
      <c r="H185" s="9" t="s">
        <v>241</v>
      </c>
      <c r="J185" s="389">
        <v>-0.8</v>
      </c>
    </row>
    <row r="186" spans="1:10" ht="16" customHeight="1" x14ac:dyDescent="0.2">
      <c r="A186" s="446">
        <f t="shared" si="6"/>
        <v>46112</v>
      </c>
      <c r="B186" s="449">
        <f>'Ed Zitron Work'!C13/1000</f>
        <v>19</v>
      </c>
      <c r="C186" s="447">
        <f t="array" ref="C186">IF($B186&lt;&gt;"",$B186,IFERROR(LOOKUP(2,1/($B$160:$B186&lt;&gt;""),$B$160:$B186)+(INDEX($B187:$B$195,MATCH(TRUE,INDEX(($B187:$B$195&lt;&gt;""),0),0))-LOOKUP(2,1/($B$160:$B186&lt;&gt;""),$B$160:$B186))*($A186-LOOKUP(2,1/($B$160:$B186&lt;&gt;""),$A$160:$A186))/(INDEX($A187:$A$195,MATCH(TRUE,INDEX(($B187:$B$195&lt;&gt;""),0),0))-LOOKUP(2,1/($B$160:$B186&lt;&gt;""),$A$160:$A186)),""))</f>
        <v>19</v>
      </c>
      <c r="D186" s="447">
        <f t="shared" si="5"/>
        <v>16.5</v>
      </c>
      <c r="E186" s="447">
        <f t="shared" si="3"/>
        <v>1.375</v>
      </c>
    </row>
    <row r="187" spans="1:10" ht="16" customHeight="1" x14ac:dyDescent="0.2">
      <c r="A187" s="446">
        <f t="shared" si="6"/>
        <v>46142</v>
      </c>
      <c r="B187" s="319">
        <v>30</v>
      </c>
      <c r="C187" s="447">
        <f t="array" ref="C187">IF($B187&lt;&gt;"",$B187,IFERROR(LOOKUP(2,1/($B$160:$B187&lt;&gt;""),$B$160:$B187)+(INDEX($B188:$B$195,MATCH(TRUE,INDEX(($B188:$B$195&lt;&gt;""),0),0))-LOOKUP(2,1/($B$160:$B187&lt;&gt;""),$B$160:$B187))*($A187-LOOKUP(2,1/($B$160:$B187&lt;&gt;""),$A$160:$A187))/(INDEX($A188:$A$195,MATCH(TRUE,INDEX(($B188:$B$195&lt;&gt;""),0),0))-LOOKUP(2,1/($B$160:$B187&lt;&gt;""),$A$160:$A187)),""))</f>
        <v>30</v>
      </c>
      <c r="D187" s="447">
        <f t="shared" si="5"/>
        <v>24.5</v>
      </c>
      <c r="E187" s="447">
        <f t="shared" si="3"/>
        <v>2.0416666666666665</v>
      </c>
    </row>
    <row r="188" spans="1:10" ht="16" customHeight="1" x14ac:dyDescent="0.2">
      <c r="A188" s="446">
        <f t="shared" si="6"/>
        <v>46173</v>
      </c>
      <c r="B188" s="319">
        <v>47</v>
      </c>
      <c r="C188" s="447">
        <f t="array" ref="C188">IF($B188&lt;&gt;"",$B188,IFERROR(LOOKUP(2,1/($B$160:$B188&lt;&gt;""),$B$160:$B188)+(INDEX($B189:$B$195,MATCH(TRUE,INDEX(($B189:$B$195&lt;&gt;""),0),0))-LOOKUP(2,1/($B$160:$B188&lt;&gt;""),$B$160:$B188))*($A188-LOOKUP(2,1/($B$160:$B188&lt;&gt;""),$A$160:$A188))/(INDEX($A189:$A$195,MATCH(TRUE,INDEX(($B189:$B$195&lt;&gt;""),0),0))-LOOKUP(2,1/($B$160:$B188&lt;&gt;""),$A$160:$A188)),""))</f>
        <v>47</v>
      </c>
      <c r="D188" s="447">
        <f t="shared" si="5"/>
        <v>38.5</v>
      </c>
      <c r="E188" s="447">
        <f t="shared" si="3"/>
        <v>3.2083333333333335</v>
      </c>
    </row>
    <row r="189" spans="1:10" ht="16" customHeight="1" x14ac:dyDescent="0.2">
      <c r="A189" s="446">
        <f t="shared" si="6"/>
        <v>46203</v>
      </c>
      <c r="B189" s="319">
        <v>62</v>
      </c>
      <c r="C189" s="447">
        <f t="array" ref="C189">IF($B189&lt;&gt;"",$B189,IFERROR(LOOKUP(2,1/($B$160:$B189&lt;&gt;""),$B$160:$B189)+(INDEX($B190:$B$195,MATCH(TRUE,INDEX(($B190:$B$195&lt;&gt;""),0),0))-LOOKUP(2,1/($B$160:$B189&lt;&gt;""),$B$160:$B189))*($A189-LOOKUP(2,1/($B$160:$B189&lt;&gt;""),$A$160:$A189))/(INDEX($A190:$A$195,MATCH(TRUE,INDEX(($B190:$B$195&lt;&gt;""),0),0))-LOOKUP(2,1/($B$160:$B189&lt;&gt;""),$A$160:$A189)),""))</f>
        <v>62</v>
      </c>
      <c r="D189" s="447">
        <f t="shared" si="5"/>
        <v>54.5</v>
      </c>
      <c r="E189" s="447">
        <f t="shared" si="3"/>
        <v>4.541666666666667</v>
      </c>
    </row>
    <row r="190" spans="1:10" ht="16" customHeight="1" x14ac:dyDescent="0.2">
      <c r="A190" s="446">
        <f t="shared" si="6"/>
        <v>46234</v>
      </c>
      <c r="B190" s="448">
        <f t="shared" ref="B190:B195" si="7">B189*(1+$J$185)</f>
        <v>12.399999999999997</v>
      </c>
      <c r="C190" s="447">
        <f t="array" ref="C190">IF($B190&lt;&gt;"",$B190,IFERROR(LOOKUP(2,1/($B$160:$B190&lt;&gt;""),$B$160:$B190)+(INDEX($B191:$B$195,MATCH(TRUE,INDEX(($B191:$B$195&lt;&gt;""),0),0))-LOOKUP(2,1/($B$160:$B190&lt;&gt;""),$B$160:$B190))*($A190-LOOKUP(2,1/($B$160:$B190&lt;&gt;""),$A$160:$A190))/(INDEX($A191:$A$195,MATCH(TRUE,INDEX(($B191:$B$195&lt;&gt;""),0),0))-LOOKUP(2,1/($B$160:$B190&lt;&gt;""),$A$160:$A190)),""))</f>
        <v>12.399999999999997</v>
      </c>
      <c r="D190" s="447">
        <f t="shared" si="5"/>
        <v>37.199999999999996</v>
      </c>
      <c r="E190" s="447">
        <f t="shared" si="3"/>
        <v>3.0999999999999996</v>
      </c>
    </row>
    <row r="191" spans="1:10" ht="16" customHeight="1" x14ac:dyDescent="0.2">
      <c r="A191" s="446">
        <f t="shared" si="6"/>
        <v>46265</v>
      </c>
      <c r="B191" s="448">
        <f t="shared" si="7"/>
        <v>2.4799999999999986</v>
      </c>
      <c r="C191" s="447">
        <f t="array" ref="C191">IF($B191&lt;&gt;"",$B191,IFERROR(LOOKUP(2,1/($B$160:$B191&lt;&gt;""),$B$160:$B191)+(INDEX($B192:$B$195,MATCH(TRUE,INDEX(($B192:$B$195&lt;&gt;""),0),0))-LOOKUP(2,1/($B$160:$B191&lt;&gt;""),$B$160:$B191))*($A191-LOOKUP(2,1/($B$160:$B191&lt;&gt;""),$A$160:$A191))/(INDEX($A192:$A$195,MATCH(TRUE,INDEX(($B192:$B$195&lt;&gt;""),0),0))-LOOKUP(2,1/($B$160:$B191&lt;&gt;""),$A$160:$A191)),""))</f>
        <v>2.4799999999999986</v>
      </c>
      <c r="D191" s="447">
        <f t="shared" si="5"/>
        <v>7.4399999999999977</v>
      </c>
      <c r="E191" s="447">
        <f t="shared" si="3"/>
        <v>0.61999999999999977</v>
      </c>
    </row>
    <row r="192" spans="1:10" ht="16" customHeight="1" x14ac:dyDescent="0.2">
      <c r="A192" s="446">
        <f t="shared" si="6"/>
        <v>46295</v>
      </c>
      <c r="B192" s="448">
        <f t="shared" si="7"/>
        <v>0.49599999999999961</v>
      </c>
      <c r="C192" s="447">
        <f t="array" ref="C192">IF($B192&lt;&gt;"",$B192,IFERROR(LOOKUP(2,1/($B$160:$B192&lt;&gt;""),$B$160:$B192)+(INDEX($B193:$B$195,MATCH(TRUE,INDEX(($B193:$B$195&lt;&gt;""),0),0))-LOOKUP(2,1/($B$160:$B192&lt;&gt;""),$B$160:$B192))*($A192-LOOKUP(2,1/($B$160:$B192&lt;&gt;""),$A$160:$A192))/(INDEX($A193:$A$195,MATCH(TRUE,INDEX(($B193:$B$195&lt;&gt;""),0),0))-LOOKUP(2,1/($B$160:$B192&lt;&gt;""),$A$160:$A192)),""))</f>
        <v>0.49599999999999961</v>
      </c>
      <c r="D192" s="447">
        <f t="shared" si="5"/>
        <v>1.4879999999999991</v>
      </c>
      <c r="E192" s="447">
        <f t="shared" si="3"/>
        <v>0.12399999999999993</v>
      </c>
    </row>
    <row r="193" spans="1:9" ht="16" customHeight="1" x14ac:dyDescent="0.2">
      <c r="A193" s="446">
        <f t="shared" si="6"/>
        <v>46326</v>
      </c>
      <c r="B193" s="448">
        <f t="shared" si="7"/>
        <v>9.9199999999999899E-2</v>
      </c>
      <c r="C193" s="447">
        <f t="array" ref="C193">IF($B193&lt;&gt;"",$B193,IFERROR(LOOKUP(2,1/($B$160:$B193&lt;&gt;""),$B$160:$B193)+(INDEX($B194:$B$195,MATCH(TRUE,INDEX(($B194:$B$195&lt;&gt;""),0),0))-LOOKUP(2,1/($B$160:$B193&lt;&gt;""),$B$160:$B193))*($A193-LOOKUP(2,1/($B$160:$B193&lt;&gt;""),$A$160:$A193))/(INDEX($A194:$A$195,MATCH(TRUE,INDEX(($B194:$B$195&lt;&gt;""),0),0))-LOOKUP(2,1/($B$160:$B193&lt;&gt;""),$A$160:$A193)),""))</f>
        <v>9.9199999999999899E-2</v>
      </c>
      <c r="D193" s="447">
        <f t="shared" si="5"/>
        <v>0.29759999999999975</v>
      </c>
      <c r="E193" s="447">
        <f t="shared" si="3"/>
        <v>2.4799999999999978E-2</v>
      </c>
    </row>
    <row r="194" spans="1:9" ht="16" customHeight="1" x14ac:dyDescent="0.2">
      <c r="A194" s="446">
        <f t="shared" si="6"/>
        <v>46356</v>
      </c>
      <c r="B194" s="448">
        <f t="shared" si="7"/>
        <v>1.9839999999999976E-2</v>
      </c>
      <c r="C194" s="447">
        <f t="array" ref="C194">IF($B194&lt;&gt;"",$B194,IFERROR(LOOKUP(2,1/($B$160:$B194&lt;&gt;""),$B$160:$B194)+(INDEX($B195:$B$195,MATCH(TRUE,INDEX(($B195:$B$195&lt;&gt;""),0),0))-LOOKUP(2,1/($B$160:$B194&lt;&gt;""),$B$160:$B194))*($A194-LOOKUP(2,1/($B$160:$B194&lt;&gt;""),$A$160:$A194))/(INDEX($A195:$A$195,MATCH(TRUE,INDEX(($B195:$B$195&lt;&gt;""),0),0))-LOOKUP(2,1/($B$160:$B194&lt;&gt;""),$A$160:$A194)),""))</f>
        <v>1.9839999999999976E-2</v>
      </c>
      <c r="D194" s="447">
        <f t="shared" si="5"/>
        <v>5.9519999999999934E-2</v>
      </c>
      <c r="E194" s="447">
        <f t="shared" si="3"/>
        <v>4.9599999999999948E-3</v>
      </c>
    </row>
    <row r="195" spans="1:9" ht="16" customHeight="1" x14ac:dyDescent="0.2">
      <c r="A195" s="446">
        <f t="shared" si="6"/>
        <v>46387</v>
      </c>
      <c r="B195" s="448">
        <f t="shared" si="7"/>
        <v>3.9679999999999941E-3</v>
      </c>
      <c r="C195" s="447">
        <f>IF($B195&lt;&gt;"",$B195,"")</f>
        <v>3.9679999999999941E-3</v>
      </c>
      <c r="D195" s="447">
        <f t="shared" si="5"/>
        <v>1.1903999999999984E-2</v>
      </c>
      <c r="E195" s="447">
        <f t="shared" si="3"/>
        <v>9.9199999999999874E-4</v>
      </c>
    </row>
    <row r="196" spans="1:9" ht="16" customHeight="1" x14ac:dyDescent="0.2">
      <c r="A196" s="446"/>
      <c r="B196" s="451"/>
      <c r="C196" s="452"/>
      <c r="D196" s="452"/>
      <c r="E196" s="452"/>
    </row>
    <row r="197" spans="1:9" ht="16" customHeight="1" x14ac:dyDescent="0.2">
      <c r="A197" s="444" t="s">
        <v>69</v>
      </c>
      <c r="B197" s="445" t="s">
        <v>242</v>
      </c>
      <c r="C197" s="445" t="s">
        <v>243</v>
      </c>
      <c r="D197" s="444" t="s">
        <v>244</v>
      </c>
    </row>
    <row r="198" spans="1:9" ht="16" customHeight="1" x14ac:dyDescent="0.2">
      <c r="A198" s="453">
        <v>2024</v>
      </c>
      <c r="B198" s="447">
        <f>SUM(E160:E171)</f>
        <v>0.5036414179104477</v>
      </c>
      <c r="C198" s="447">
        <f>$B$9</f>
        <v>0.38100000000000001</v>
      </c>
      <c r="D198" s="454">
        <f>IF(OR(B198=0,C198=0),"n/m",C198/B198)</f>
        <v>0.75649060313730088</v>
      </c>
    </row>
    <row r="199" spans="1:9" ht="16" customHeight="1" x14ac:dyDescent="0.2">
      <c r="A199" s="453">
        <v>2025</v>
      </c>
      <c r="B199" s="447">
        <f>SUM(E172:E183)</f>
        <v>4.1466935259794386</v>
      </c>
      <c r="C199" s="447">
        <f>$C$9</f>
        <v>4.5</v>
      </c>
      <c r="D199" s="454">
        <f>IF(OR(B199=0,C199=0),"n/m",C199/B199)</f>
        <v>1.0852019740082217</v>
      </c>
    </row>
    <row r="200" spans="1:9" ht="16" customHeight="1" x14ac:dyDescent="0.2">
      <c r="A200" s="453">
        <v>2026</v>
      </c>
      <c r="B200" s="447">
        <f>SUM(E184:E195)</f>
        <v>16.968678553672319</v>
      </c>
      <c r="C200" s="447">
        <f>$D$9</f>
        <v>18</v>
      </c>
      <c r="D200" s="454">
        <f>IF(OR(B200=0,C200=0),"n/m",C200/B200)</f>
        <v>1.0607779470313841</v>
      </c>
    </row>
    <row r="201" spans="1:9" x14ac:dyDescent="0.15">
      <c r="A201" s="3"/>
      <c r="B201" s="2"/>
      <c r="C201" s="2"/>
      <c r="D201" s="2"/>
      <c r="E201" s="2"/>
      <c r="F201" s="2"/>
    </row>
    <row r="202" spans="1:9" x14ac:dyDescent="0.2">
      <c r="A202" s="26" t="s">
        <v>713</v>
      </c>
      <c r="B202" s="27"/>
      <c r="C202" s="27"/>
      <c r="D202" s="27"/>
      <c r="E202" s="27"/>
      <c r="F202" s="27"/>
      <c r="G202" s="27"/>
      <c r="H202" s="27"/>
      <c r="I202" s="27"/>
    </row>
    <row r="203" spans="1:9" x14ac:dyDescent="0.2">
      <c r="A203" s="501" t="s">
        <v>714</v>
      </c>
      <c r="B203" s="502" t="s">
        <v>145</v>
      </c>
      <c r="C203" s="502" t="s">
        <v>715</v>
      </c>
      <c r="D203" s="502" t="s">
        <v>716</v>
      </c>
      <c r="E203" s="502" t="s">
        <v>717</v>
      </c>
      <c r="F203" s="502" t="s">
        <v>718</v>
      </c>
      <c r="G203" s="502" t="s">
        <v>719</v>
      </c>
      <c r="H203" s="502" t="s">
        <v>720</v>
      </c>
    </row>
    <row r="204" spans="1:9" x14ac:dyDescent="0.2">
      <c r="A204" s="9" t="s">
        <v>721</v>
      </c>
      <c r="B204" s="510" t="s">
        <v>732</v>
      </c>
      <c r="C204" s="25">
        <v>3.5</v>
      </c>
      <c r="D204" s="25">
        <v>61.5</v>
      </c>
      <c r="E204" s="138">
        <f>C174</f>
        <v>1.4</v>
      </c>
      <c r="F204" s="55">
        <f>IFERROR(D204/E204,"n/m")</f>
        <v>43.928571428571431</v>
      </c>
      <c r="G204" s="498">
        <f>IFERROR(D204/$C$9,"n/m")</f>
        <v>13.666666666666666</v>
      </c>
      <c r="H204" s="499" t="s">
        <v>722</v>
      </c>
    </row>
    <row r="205" spans="1:9" x14ac:dyDescent="0.2">
      <c r="A205" s="9" t="s">
        <v>723</v>
      </c>
      <c r="B205" s="510" t="s">
        <v>733</v>
      </c>
      <c r="C205" s="25">
        <v>13</v>
      </c>
      <c r="D205" s="25">
        <v>183</v>
      </c>
      <c r="E205" s="138">
        <f>C179</f>
        <v>5.6739130434782608</v>
      </c>
      <c r="F205" s="55">
        <f>IFERROR(D205/E205,"n/m")</f>
        <v>32.252873563218394</v>
      </c>
      <c r="G205" s="498">
        <f>IFERROR(D205/$C$9,"n/m")</f>
        <v>40.666666666666664</v>
      </c>
      <c r="H205" s="499" t="s">
        <v>722</v>
      </c>
    </row>
    <row r="206" spans="1:9" x14ac:dyDescent="0.2">
      <c r="A206" s="9" t="s">
        <v>724</v>
      </c>
      <c r="B206" s="510" t="s">
        <v>734</v>
      </c>
      <c r="C206" s="25">
        <v>30</v>
      </c>
      <c r="D206" s="25">
        <v>380</v>
      </c>
      <c r="E206" s="138">
        <f>C185</f>
        <v>14</v>
      </c>
      <c r="F206" s="55">
        <f>IFERROR(D206/E206,"n/m")</f>
        <v>27.142857142857142</v>
      </c>
      <c r="G206" s="498">
        <f>IFERROR(D206/$D$9,"n/m")</f>
        <v>21.111111111111111</v>
      </c>
      <c r="H206" s="499" t="s">
        <v>7</v>
      </c>
    </row>
    <row r="207" spans="1:9" x14ac:dyDescent="0.2">
      <c r="A207" s="503" t="s">
        <v>725</v>
      </c>
      <c r="B207" s="504" t="s">
        <v>726</v>
      </c>
      <c r="C207" s="505">
        <v>65</v>
      </c>
      <c r="D207" s="505">
        <v>965</v>
      </c>
      <c r="E207" s="506">
        <f>C188</f>
        <v>47</v>
      </c>
      <c r="F207" s="507">
        <f>IFERROR(D207/E207,"n/m")</f>
        <v>20.531914893617021</v>
      </c>
      <c r="G207" s="508">
        <f>IFERROR(D207/$D$9,"n/m")</f>
        <v>53.611111111111114</v>
      </c>
      <c r="H207" s="509" t="s">
        <v>7</v>
      </c>
    </row>
    <row r="208" spans="1:9" x14ac:dyDescent="0.2">
      <c r="A208" s="267" t="s">
        <v>727</v>
      </c>
    </row>
    <row r="209" spans="1:6" x14ac:dyDescent="0.2">
      <c r="A209" s="9" t="s">
        <v>728</v>
      </c>
      <c r="F209" s="55">
        <f>IFERROR($D$207/$E$9,"n/m")</f>
        <v>17.545454545454547</v>
      </c>
    </row>
    <row r="210" spans="1:6" x14ac:dyDescent="0.2">
      <c r="A210" s="9" t="s">
        <v>729</v>
      </c>
      <c r="F210" s="55">
        <f>IFERROR($D$207/$F$9,"n/m")</f>
        <v>9.4607843137254903</v>
      </c>
    </row>
    <row r="211" spans="1:6" x14ac:dyDescent="0.2">
      <c r="A211" s="9" t="s">
        <v>730</v>
      </c>
      <c r="F211" s="138">
        <f>E128+F128</f>
        <v>339.11566000000005</v>
      </c>
    </row>
    <row r="212" spans="1:6" x14ac:dyDescent="0.2">
      <c r="A212" s="9" t="s">
        <v>731</v>
      </c>
      <c r="F212" s="500">
        <f>IFERROR(F211/($D$207+F211),"n/m")</f>
        <v>0.2600349573288615</v>
      </c>
    </row>
    <row r="213" spans="1:6" x14ac:dyDescent="0.2">
      <c r="A213" s="54" t="str">
        <f>"Read: Series H prices Anthropic at "&amp;TEXT(F207,"0.0")&amp;"x ARR and "&amp;TEXT(F210,"0.0")&amp;"x 2028E revenue. Closing the 2027–28 committed-compute gap at that price implies ~"&amp;TEXT(F212,"0%")&amp;" further dilution — the round math holds only if the $55B→$102B revenue path and the "&amp;TEXT(F135,"0%")&amp;" 2028 model GM both hold."</f>
        <v>Read: Series H prices Anthropic at 20.5x ARR and 9.5x 2028E revenue. Closing the 2027–28 committed-compute gap at that price implies ~26% further dilution — the round math holds only if the $55B→$102B revenue path and the 77% 2028 model GM both hold.</v>
      </c>
    </row>
  </sheetData>
  <hyperlinks>
    <hyperlink ref="I97" r:id="rId1" xr:uid="{00000000-0004-0000-0000-000000000000}"/>
    <hyperlink ref="I98" r:id="rId2" xr:uid="{00000000-0004-0000-0000-000001000000}"/>
    <hyperlink ref="I99" r:id="rId3" xr:uid="{00000000-0004-0000-0000-000002000000}"/>
    <hyperlink ref="I100" r:id="rId4" xr:uid="{00000000-0004-0000-0000-000003000000}"/>
    <hyperlink ref="I101" r:id="rId5" xr:uid="{00000000-0004-0000-0000-000004000000}"/>
    <hyperlink ref="I102" r:id="rId6" xr:uid="{00000000-0004-0000-0000-000005000000}"/>
    <hyperlink ref="I103" r:id="rId7" xr:uid="{00000000-0004-0000-0000-000006000000}"/>
    <hyperlink ref="I104" r:id="rId8" xr:uid="{00000000-0004-0000-0000-000007000000}"/>
  </hyperlinks>
  <pageMargins left="0.7" right="0.7" top="0.75" bottom="0.75" header="0.3" footer="0.3"/>
  <legacy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L120"/>
  <sheetViews>
    <sheetView showGridLines="0" zoomScaleNormal="105" workbookViewId="0">
      <pane xSplit="1" ySplit="4" topLeftCell="B23" activePane="bottomRight" state="frozen"/>
      <selection pane="topRight" activeCell="B1" sqref="B1"/>
      <selection pane="bottomLeft" activeCell="A5" sqref="A5"/>
      <selection pane="bottomRight" activeCell="A66" sqref="A66"/>
    </sheetView>
  </sheetViews>
  <sheetFormatPr baseColWidth="10" defaultRowHeight="14" x14ac:dyDescent="0.2"/>
  <cols>
    <col min="1" max="1" width="38.33203125" style="9" customWidth="1"/>
    <col min="2" max="9" width="11.6640625" style="9" customWidth="1"/>
    <col min="10" max="10" width="10.83203125" style="9" customWidth="1"/>
    <col min="11" max="16384" width="10.83203125" style="9"/>
  </cols>
  <sheetData>
    <row r="1" spans="1:9" ht="19" customHeight="1" x14ac:dyDescent="0.2">
      <c r="A1" s="8" t="s">
        <v>0</v>
      </c>
    </row>
    <row r="2" spans="1:9" x14ac:dyDescent="0.2">
      <c r="A2" s="10" t="s">
        <v>1</v>
      </c>
    </row>
    <row r="3" spans="1:9" ht="16" customHeight="1" x14ac:dyDescent="0.2">
      <c r="A3" s="10"/>
      <c r="B3" s="11" t="s">
        <v>3</v>
      </c>
      <c r="C3" s="11"/>
      <c r="D3" s="11"/>
      <c r="E3" s="11"/>
      <c r="F3" s="11"/>
      <c r="G3" s="11"/>
      <c r="H3" s="11"/>
      <c r="I3" s="470"/>
    </row>
    <row r="4" spans="1:9" ht="16" customHeight="1" x14ac:dyDescent="0.2"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 t="s">
        <v>10</v>
      </c>
      <c r="H4" s="13" t="s">
        <v>11</v>
      </c>
      <c r="I4" s="470"/>
    </row>
    <row r="5" spans="1:9" ht="8" customHeight="1" x14ac:dyDescent="0.2">
      <c r="A5" s="276"/>
      <c r="C5" s="316"/>
      <c r="I5" s="470"/>
    </row>
    <row r="6" spans="1:9" ht="15" x14ac:dyDescent="0.2">
      <c r="A6" s="317" t="s">
        <v>2</v>
      </c>
      <c r="B6" s="313"/>
      <c r="C6" s="314"/>
      <c r="D6" s="313"/>
      <c r="E6" s="313"/>
      <c r="F6" s="313"/>
      <c r="G6" s="313"/>
      <c r="H6" s="313"/>
      <c r="I6" s="470"/>
    </row>
    <row r="7" spans="1:9" ht="8" customHeight="1" x14ac:dyDescent="0.2">
      <c r="A7" s="276"/>
      <c r="C7" s="316"/>
      <c r="I7" s="470"/>
    </row>
    <row r="8" spans="1:9" ht="16" customHeight="1" x14ac:dyDescent="0.2">
      <c r="A8" s="9" t="s">
        <v>14</v>
      </c>
      <c r="B8" s="195">
        <f>(SUMIFS('Press Pull'!$E:$E,'Press Pull'!$A:$A,"OpenAI",'Press Pull'!$B:$B,"revenue",'Press Pull'!$F:$F,"the_information_chart_image_estimate",'Press Pull'!$D:$D,"chatgpt_consumer_including_ads",'Press Pull'!$C:$C,VALUE(LEFT(B$4,4)))/SUMIFS('Press Pull'!$E:$E,'Press Pull'!$A:$A,"OpenAI",'Press Pull'!$B:$B,"revenue",'Press Pull'!$F:$F,"the_information_chart_image_estimate",'Press Pull'!$C:$C,VALUE(LEFT(B$4,4))))*$B$12</f>
        <v>2.4975000000000005</v>
      </c>
      <c r="C8" s="195">
        <f>SUMIFS('Press Pull'!$E:$E,'Press Pull'!$A:$A,"OpenAI",'Press Pull'!$B:$B,"revenue",'Press Pull'!$F:$F,"the_information_chart_image_estimate",'Press Pull'!$D:$D,"chatgpt_consumer_including_ads",'Press Pull'!$C:$C,VALUE(LEFT(C$4,4)))</f>
        <v>8.6</v>
      </c>
      <c r="D8" s="195">
        <f>SUMIFS('Press Pull'!$E:$E,'Press Pull'!$A:$A,"OpenAI",'Press Pull'!$B:$B,"revenue",'Press Pull'!$F:$F,"the_information_chart_image_estimate",'Press Pull'!$D:$D,"chatgpt_consumer_including_ads",'Press Pull'!$C:$C,VALUE(LEFT(D$4,4)))</f>
        <v>16.7</v>
      </c>
      <c r="E8" s="195">
        <f>SUMIFS('Press Pull'!$E:$E,'Press Pull'!$A:$A,"OpenAI",'Press Pull'!$B:$B,"revenue",'Press Pull'!$F:$F,"the_information_chart_image_estimate",'Press Pull'!$D:$D,"chatgpt_consumer_including_ads",'Press Pull'!$C:$C,VALUE(LEFT(E$4,4)))</f>
        <v>32.9</v>
      </c>
      <c r="F8" s="195">
        <f>SUMIFS('Press Pull'!$E:$E,'Press Pull'!$A:$A,"OpenAI",'Press Pull'!$B:$B,"revenue",'Press Pull'!$F:$F,"the_information_chart_image_estimate",'Press Pull'!$D:$D,"chatgpt_consumer_including_ads",'Press Pull'!$C:$C,VALUE(LEFT(F$4,4)))</f>
        <v>57.2</v>
      </c>
      <c r="G8" s="195">
        <f>SUMIFS('Press Pull'!$E:$E,'Press Pull'!$A:$A,"OpenAI",'Press Pull'!$B:$B,"revenue",'Press Pull'!$F:$F,"the_information_chart_image_estimate",'Press Pull'!$D:$D,"chatgpt_consumer_including_ads",'Press Pull'!$C:$C,VALUE(LEFT(G$4,4)))</f>
        <v>93.7</v>
      </c>
      <c r="H8" s="195">
        <f>SUMIFS('Press Pull'!$E:$E,'Press Pull'!$A:$A,"OpenAI",'Press Pull'!$B:$B,"revenue",'Press Pull'!$F:$F,"the_information_chart_image_estimate",'Press Pull'!$D:$D,"chatgpt_consumer_including_ads",'Press Pull'!$C:$C,VALUE(LEFT(H$4,4)))</f>
        <v>150.80000000000001</v>
      </c>
    </row>
    <row r="9" spans="1:9" ht="16" customHeight="1" x14ac:dyDescent="0.2">
      <c r="A9" s="9" t="s">
        <v>15</v>
      </c>
      <c r="B9" s="221">
        <f>(SUMIFS('Press Pull'!$E:$E,'Press Pull'!$A:$A,"OpenAI",'Press Pull'!$B:$B,"revenue",'Press Pull'!$F:$F,"the_information_chart_image_estimate",'Press Pull'!$D:$D,"chatgpt_b2b_including_agents_research_partnerships",'Press Pull'!$C:$C,VALUE(LEFT(B$4,4)))/SUMIFS('Press Pull'!$E:$E,'Press Pull'!$A:$A,"OpenAI",'Press Pull'!$B:$B,"revenue",'Press Pull'!$F:$F,"the_information_chart_image_estimate",'Press Pull'!$C:$C,VALUE(LEFT(B$4,4))))*$B$12</f>
        <v>0.37000000000000005</v>
      </c>
      <c r="C9" s="221">
        <f>SUMIFS('Press Pull'!$E:$E,'Press Pull'!$A:$A,"OpenAI",'Press Pull'!$B:$B,"revenue",'Press Pull'!$F:$F,"the_information_chart_image_estimate",'Press Pull'!$D:$D,"chatgpt_b2b_including_agents_research_partnerships",'Press Pull'!$C:$C,VALUE(LEFT(C$4,4)))</f>
        <v>2.4</v>
      </c>
      <c r="D9" s="221">
        <f>SUMIFS('Press Pull'!$E:$E,'Press Pull'!$A:$A,"OpenAI",'Press Pull'!$B:$B,"revenue",'Press Pull'!$F:$F,"the_information_chart_image_estimate",'Press Pull'!$D:$D,"chatgpt_b2b_including_agents_research_partnerships",'Press Pull'!$C:$C,VALUE(LEFT(D$4,4)))</f>
        <v>8</v>
      </c>
      <c r="E9" s="221">
        <f>SUMIFS('Press Pull'!$E:$E,'Press Pull'!$A:$A,"OpenAI",'Press Pull'!$B:$B,"revenue",'Press Pull'!$F:$F,"the_information_chart_image_estimate",'Press Pull'!$D:$D,"chatgpt_b2b_including_agents_research_partnerships",'Press Pull'!$C:$C,VALUE(LEFT(E$4,4)))</f>
        <v>17</v>
      </c>
      <c r="F9" s="221">
        <f>SUMIFS('Press Pull'!$E:$E,'Press Pull'!$A:$A,"OpenAI",'Press Pull'!$B:$B,"revenue",'Press Pull'!$F:$F,"the_information_chart_image_estimate",'Press Pull'!$D:$D,"chatgpt_b2b_including_agents_research_partnerships",'Press Pull'!$C:$C,VALUE(LEFT(F$4,4)))</f>
        <v>31.2</v>
      </c>
      <c r="G9" s="221">
        <f>SUMIFS('Press Pull'!$E:$E,'Press Pull'!$A:$A,"OpenAI",'Press Pull'!$B:$B,"revenue",'Press Pull'!$F:$F,"the_information_chart_image_estimate",'Press Pull'!$D:$D,"chatgpt_b2b_including_agents_research_partnerships",'Press Pull'!$C:$C,VALUE(LEFT(G$4,4)))</f>
        <v>47.8</v>
      </c>
      <c r="H9" s="221">
        <f>SUMIFS('Press Pull'!$E:$E,'Press Pull'!$A:$A,"OpenAI",'Press Pull'!$B:$B,"revenue",'Press Pull'!$F:$F,"the_information_chart_image_estimate",'Press Pull'!$D:$D,"chatgpt_b2b_including_agents_research_partnerships",'Press Pull'!$C:$C,VALUE(LEFT(H$4,4)))</f>
        <v>70.3</v>
      </c>
    </row>
    <row r="10" spans="1:9" ht="16" customHeight="1" x14ac:dyDescent="0.2">
      <c r="A10" s="9" t="s">
        <v>16</v>
      </c>
      <c r="B10" s="221">
        <f>(SUMIFS('Press Pull'!$E:$E,'Press Pull'!$A:$A,"OpenAI",'Press Pull'!$B:$B,"revenue",'Press Pull'!$F:$F,"the_information_chart_image_estimate",'Press Pull'!$D:$D,"platform_api_sales_on_microsoft_azure",'Press Pull'!$C:$C,VALUE(LEFT(B$4,4)))/SUMIFS('Press Pull'!$E:$E,'Press Pull'!$A:$A,"OpenAI",'Press Pull'!$B:$B,"revenue",'Press Pull'!$F:$F,"the_information_chart_image_estimate",'Press Pull'!$C:$C,VALUE(LEFT(B$4,4))))*$B$12</f>
        <v>0.83250000000000002</v>
      </c>
      <c r="C10" s="221">
        <f>SUMIFS('Press Pull'!$E:$E,'Press Pull'!$A:$A,"OpenAI",'Press Pull'!$B:$B,"revenue",'Press Pull'!$F:$F,"the_information_chart_image_estimate",'Press Pull'!$D:$D,"platform_api_sales_on_microsoft_azure",'Press Pull'!$C:$C,VALUE(LEFT(C$4,4)))</f>
        <v>2.1</v>
      </c>
      <c r="D10" s="221">
        <f>SUMIFS('Press Pull'!$E:$E,'Press Pull'!$A:$A,"OpenAI",'Press Pull'!$B:$B,"revenue",'Press Pull'!$F:$F,"the_information_chart_image_estimate",'Press Pull'!$D:$D,"platform_api_sales_on_microsoft_azure",'Press Pull'!$C:$C,VALUE(LEFT(D$4,4)))</f>
        <v>5.3</v>
      </c>
      <c r="E10" s="221">
        <f>SUMIFS('Press Pull'!$E:$E,'Press Pull'!$A:$A,"OpenAI",'Press Pull'!$B:$B,"revenue",'Press Pull'!$F:$F,"the_information_chart_image_estimate",'Press Pull'!$D:$D,"platform_api_sales_on_microsoft_azure",'Press Pull'!$C:$C,VALUE(LEFT(E$4,4)))</f>
        <v>10.6</v>
      </c>
      <c r="F10" s="221">
        <f>SUMIFS('Press Pull'!$E:$E,'Press Pull'!$A:$A,"OpenAI",'Press Pull'!$B:$B,"revenue",'Press Pull'!$F:$F,"the_information_chart_image_estimate",'Press Pull'!$D:$D,"platform_api_sales_on_microsoft_azure",'Press Pull'!$C:$C,VALUE(LEFT(F$4,4)))</f>
        <v>18.899999999999999</v>
      </c>
      <c r="G10" s="221">
        <f>SUMIFS('Press Pull'!$E:$E,'Press Pull'!$A:$A,"OpenAI",'Press Pull'!$B:$B,"revenue",'Press Pull'!$F:$F,"the_information_chart_image_estimate",'Press Pull'!$D:$D,"platform_api_sales_on_microsoft_azure",'Press Pull'!$C:$C,VALUE(LEFT(G$4,4)))</f>
        <v>31.6</v>
      </c>
      <c r="H10" s="221">
        <f>SUMIFS('Press Pull'!$E:$E,'Press Pull'!$A:$A,"OpenAI",'Press Pull'!$B:$B,"revenue",'Press Pull'!$F:$F,"the_information_chart_image_estimate",'Press Pull'!$D:$D,"platform_api_sales_on_microsoft_azure",'Press Pull'!$C:$C,VALUE(LEFT(H$4,4)))</f>
        <v>48</v>
      </c>
    </row>
    <row r="11" spans="1:9" ht="16" customHeight="1" x14ac:dyDescent="0.2">
      <c r="A11" s="9" t="s">
        <v>17</v>
      </c>
      <c r="B11" s="221">
        <f>(SUMIFS('Press Pull'!$E:$E,'Press Pull'!$A:$A,"OpenAI",'Press Pull'!$B:$B,"revenue",'Press Pull'!$F:$F,"the_information_chart_image_estimate",'Press Pull'!$D:$D,"new_products_including_hardware",'Press Pull'!$C:$C,VALUE(LEFT(B$4,4)))/SUMIFS('Press Pull'!$E:$E,'Press Pull'!$A:$A,"OpenAI",'Press Pull'!$B:$B,"revenue",'Press Pull'!$F:$F,"the_information_chart_image_estimate",'Press Pull'!$C:$C,VALUE(LEFT(B$4,4))))*$B$12</f>
        <v>0</v>
      </c>
      <c r="C11" s="221">
        <f>SUMIFS('Press Pull'!$E:$E,'Press Pull'!$A:$A,"OpenAI",'Press Pull'!$B:$B,"revenue",'Press Pull'!$F:$F,"the_information_chart_image_estimate",'Press Pull'!$D:$D,"new_products_including_hardware",'Press Pull'!$C:$C,VALUE(LEFT(C$4,4)))</f>
        <v>0</v>
      </c>
      <c r="D11" s="221">
        <f>SUMIFS('Press Pull'!$E:$E,'Press Pull'!$A:$A,"OpenAI",'Press Pull'!$B:$B,"revenue",'Press Pull'!$F:$F,"the_information_chart_image_estimate",'Press Pull'!$D:$D,"new_products_including_hardware",'Press Pull'!$C:$C,VALUE(LEFT(D$4,4)))</f>
        <v>0</v>
      </c>
      <c r="E11" s="221">
        <f>SUMIFS('Press Pull'!$E:$E,'Press Pull'!$A:$A,"OpenAI",'Press Pull'!$B:$B,"revenue",'Press Pull'!$F:$F,"the_information_chart_image_estimate",'Press Pull'!$D:$D,"new_products_including_hardware",'Press Pull'!$C:$C,VALUE(LEFT(E$4,4)))</f>
        <v>1.5</v>
      </c>
      <c r="F11" s="221">
        <f>SUMIFS('Press Pull'!$E:$E,'Press Pull'!$A:$A,"OpenAI",'Press Pull'!$B:$B,"revenue",'Press Pull'!$F:$F,"the_information_chart_image_estimate",'Press Pull'!$D:$D,"new_products_including_hardware",'Press Pull'!$C:$C,VALUE(LEFT(F$4,4)))</f>
        <v>5.6</v>
      </c>
      <c r="G11" s="221">
        <f>SUMIFS('Press Pull'!$E:$E,'Press Pull'!$A:$A,"OpenAI",'Press Pull'!$B:$B,"revenue",'Press Pull'!$F:$F,"the_information_chart_image_estimate",'Press Pull'!$D:$D,"new_products_including_hardware",'Press Pull'!$C:$C,VALUE(LEFT(G$4,4)))</f>
        <v>10.9</v>
      </c>
      <c r="H11" s="221">
        <f>SUMIFS('Press Pull'!$E:$E,'Press Pull'!$A:$A,"OpenAI",'Press Pull'!$B:$B,"revenue",'Press Pull'!$F:$F,"the_information_chart_image_estimate",'Press Pull'!$D:$D,"new_products_including_hardware",'Press Pull'!$C:$C,VALUE(LEFT(H$4,4)))</f>
        <v>15.1</v>
      </c>
    </row>
    <row r="12" spans="1:9" ht="16" customHeight="1" x14ac:dyDescent="0.2">
      <c r="A12" s="177" t="s">
        <v>18</v>
      </c>
      <c r="B12" s="166">
        <v>3.7</v>
      </c>
      <c r="C12" s="222">
        <f t="shared" ref="C12:H12" si="0">SUM(C8:C11)</f>
        <v>13.1</v>
      </c>
      <c r="D12" s="222">
        <f t="shared" si="0"/>
        <v>30</v>
      </c>
      <c r="E12" s="222">
        <f t="shared" si="0"/>
        <v>62</v>
      </c>
      <c r="F12" s="222">
        <f t="shared" si="0"/>
        <v>112.9</v>
      </c>
      <c r="G12" s="222">
        <f t="shared" si="0"/>
        <v>184</v>
      </c>
      <c r="H12" s="222">
        <f t="shared" si="0"/>
        <v>284.20000000000005</v>
      </c>
    </row>
    <row r="13" spans="1:9" ht="16" customHeight="1" x14ac:dyDescent="0.2">
      <c r="A13" s="71" t="s">
        <v>19</v>
      </c>
      <c r="B13" s="280" t="str">
        <f t="shared" ref="B13:H13" si="1">IFERROR(B12/A12-1,"NA")</f>
        <v>NA</v>
      </c>
      <c r="C13" s="280">
        <f t="shared" si="1"/>
        <v>2.5405405405405403</v>
      </c>
      <c r="D13" s="280">
        <f t="shared" si="1"/>
        <v>1.2900763358778629</v>
      </c>
      <c r="E13" s="280">
        <f t="shared" si="1"/>
        <v>1.0666666666666669</v>
      </c>
      <c r="F13" s="280">
        <f t="shared" si="1"/>
        <v>0.82096774193548394</v>
      </c>
      <c r="G13" s="280">
        <f t="shared" si="1"/>
        <v>0.62976085031000872</v>
      </c>
      <c r="H13" s="280">
        <f t="shared" si="1"/>
        <v>0.5445652173913047</v>
      </c>
    </row>
    <row r="14" spans="1:9" ht="16" customHeight="1" x14ac:dyDescent="0.2">
      <c r="A14" s="71"/>
      <c r="B14" s="16"/>
      <c r="C14" s="16"/>
      <c r="D14" s="16"/>
      <c r="E14" s="16"/>
      <c r="F14" s="16"/>
      <c r="G14" s="16"/>
      <c r="H14" s="16"/>
    </row>
    <row r="15" spans="1:9" ht="16" customHeight="1" x14ac:dyDescent="0.2">
      <c r="A15" s="333" t="s">
        <v>20</v>
      </c>
      <c r="B15" s="16"/>
      <c r="C15" s="16"/>
      <c r="D15" s="16"/>
      <c r="E15" s="16"/>
      <c r="F15" s="16"/>
      <c r="G15" s="16"/>
      <c r="H15" s="16"/>
    </row>
    <row r="16" spans="1:9" ht="16" customHeight="1" x14ac:dyDescent="0.2">
      <c r="A16" s="71" t="s">
        <v>14</v>
      </c>
      <c r="B16" s="234">
        <f t="shared" ref="B16:H19" si="2">B8/B$12</f>
        <v>0.67500000000000016</v>
      </c>
      <c r="C16" s="234">
        <f t="shared" si="2"/>
        <v>0.65648854961832059</v>
      </c>
      <c r="D16" s="234">
        <f t="shared" si="2"/>
        <v>0.55666666666666664</v>
      </c>
      <c r="E16" s="234">
        <f t="shared" si="2"/>
        <v>0.53064516129032258</v>
      </c>
      <c r="F16" s="234">
        <f t="shared" si="2"/>
        <v>0.50664304694419837</v>
      </c>
      <c r="G16" s="234">
        <f t="shared" si="2"/>
        <v>0.50923913043478264</v>
      </c>
      <c r="H16" s="234">
        <f t="shared" si="2"/>
        <v>0.53061224489795911</v>
      </c>
    </row>
    <row r="17" spans="1:9" ht="16" customHeight="1" x14ac:dyDescent="0.2">
      <c r="A17" s="71" t="s">
        <v>15</v>
      </c>
      <c r="B17" s="234">
        <f t="shared" si="2"/>
        <v>0.1</v>
      </c>
      <c r="C17" s="234">
        <f t="shared" si="2"/>
        <v>0.18320610687022901</v>
      </c>
      <c r="D17" s="234">
        <f t="shared" si="2"/>
        <v>0.26666666666666666</v>
      </c>
      <c r="E17" s="234">
        <f t="shared" si="2"/>
        <v>0.27419354838709675</v>
      </c>
      <c r="F17" s="234">
        <f t="shared" si="2"/>
        <v>0.27635075287865368</v>
      </c>
      <c r="G17" s="234">
        <f t="shared" si="2"/>
        <v>0.25978260869565217</v>
      </c>
      <c r="H17" s="234">
        <f t="shared" si="2"/>
        <v>0.24736101337086555</v>
      </c>
    </row>
    <row r="18" spans="1:9" ht="16" customHeight="1" x14ac:dyDescent="0.2">
      <c r="A18" s="71" t="s">
        <v>16</v>
      </c>
      <c r="B18" s="234">
        <f t="shared" si="2"/>
        <v>0.22500000000000001</v>
      </c>
      <c r="C18" s="234">
        <f t="shared" si="2"/>
        <v>0.1603053435114504</v>
      </c>
      <c r="D18" s="234">
        <f t="shared" si="2"/>
        <v>0.17666666666666667</v>
      </c>
      <c r="E18" s="234">
        <f t="shared" si="2"/>
        <v>0.17096774193548386</v>
      </c>
      <c r="F18" s="234">
        <f t="shared" si="2"/>
        <v>0.16740478299379979</v>
      </c>
      <c r="G18" s="234">
        <f t="shared" si="2"/>
        <v>0.17173913043478262</v>
      </c>
      <c r="H18" s="234">
        <f t="shared" si="2"/>
        <v>0.16889514426460236</v>
      </c>
    </row>
    <row r="19" spans="1:9" ht="16" customHeight="1" x14ac:dyDescent="0.2">
      <c r="A19" s="71" t="s">
        <v>17</v>
      </c>
      <c r="B19" s="234">
        <f t="shared" si="2"/>
        <v>0</v>
      </c>
      <c r="C19" s="234">
        <f t="shared" si="2"/>
        <v>0</v>
      </c>
      <c r="D19" s="234">
        <f t="shared" si="2"/>
        <v>0</v>
      </c>
      <c r="E19" s="234">
        <f t="shared" si="2"/>
        <v>2.4193548387096774E-2</v>
      </c>
      <c r="F19" s="234">
        <f t="shared" si="2"/>
        <v>4.9601417183348089E-2</v>
      </c>
      <c r="G19" s="234">
        <f t="shared" si="2"/>
        <v>5.9239130434782614E-2</v>
      </c>
      <c r="H19" s="234">
        <f t="shared" si="2"/>
        <v>5.3131597466572825E-2</v>
      </c>
    </row>
    <row r="20" spans="1:9" ht="16" customHeight="1" x14ac:dyDescent="0.2">
      <c r="A20" s="8"/>
      <c r="B20" s="20"/>
      <c r="C20" s="20"/>
      <c r="D20" s="20"/>
      <c r="E20" s="20"/>
      <c r="F20" s="20"/>
      <c r="G20" s="20"/>
      <c r="H20" s="20"/>
    </row>
    <row r="21" spans="1:9" ht="16" customHeight="1" x14ac:dyDescent="0.15">
      <c r="A21" s="9" t="s">
        <v>672</v>
      </c>
      <c r="B21" s="403"/>
      <c r="C21" s="22">
        <v>8</v>
      </c>
      <c r="D21" s="22">
        <v>14</v>
      </c>
      <c r="E21" s="22">
        <v>26</v>
      </c>
      <c r="F21" s="17">
        <f>($D$57-$D$58-$D$21-$E$21)*F$12/SUM($F$12:$H$12)</f>
        <v>35.943039063844431</v>
      </c>
      <c r="G21" s="17">
        <f>($D$57-$D$58-$D$21-$E$21)*G$12/SUM($F$12:$H$12)</f>
        <v>58.578557907416965</v>
      </c>
      <c r="H21" s="17">
        <f>($D$57-$D$58-$D$21-$E$21)*H$12/SUM($F$12:$H$12)</f>
        <v>90.478403028738612</v>
      </c>
      <c r="I21" s="120"/>
    </row>
    <row r="22" spans="1:9" ht="16" customHeight="1" x14ac:dyDescent="0.15">
      <c r="A22" s="71" t="s">
        <v>670</v>
      </c>
      <c r="B22" s="162"/>
      <c r="C22" s="394">
        <f>-C25/C21</f>
        <v>0.9375</v>
      </c>
      <c r="D22" s="405">
        <f>C22</f>
        <v>0.9375</v>
      </c>
      <c r="E22" s="405">
        <f>D22</f>
        <v>0.9375</v>
      </c>
      <c r="F22" s="405">
        <f t="shared" ref="F22:H22" si="3">E22</f>
        <v>0.9375</v>
      </c>
      <c r="G22" s="405">
        <f t="shared" si="3"/>
        <v>0.9375</v>
      </c>
      <c r="H22" s="405">
        <f t="shared" si="3"/>
        <v>0.9375</v>
      </c>
      <c r="I22" s="120"/>
    </row>
    <row r="23" spans="1:9" ht="16" customHeight="1" x14ac:dyDescent="0.15">
      <c r="A23" s="9" t="s">
        <v>671</v>
      </c>
      <c r="B23" s="404"/>
      <c r="C23" s="23">
        <v>8.3000000000000007</v>
      </c>
      <c r="D23" s="23">
        <v>32</v>
      </c>
      <c r="E23" s="23">
        <v>65</v>
      </c>
      <c r="F23" s="395">
        <f>($D$58-$D$23-$E$23)*F24</f>
        <v>85.75</v>
      </c>
      <c r="G23" s="395">
        <f>($D$58-$D$23-$E$23)*G24</f>
        <v>120.05</v>
      </c>
      <c r="H23" s="395">
        <f>($D$58-$D$23-$E$23)*H24</f>
        <v>137.20000000000002</v>
      </c>
      <c r="I23" s="120"/>
    </row>
    <row r="24" spans="1:9" s="406" customFormat="1" ht="16" customHeight="1" x14ac:dyDescent="0.15">
      <c r="A24" s="458" t="s">
        <v>688</v>
      </c>
      <c r="B24" s="407"/>
      <c r="C24" s="407"/>
      <c r="D24" s="407"/>
      <c r="E24" s="407"/>
      <c r="F24" s="511">
        <v>0.25</v>
      </c>
      <c r="G24" s="511">
        <v>0.35</v>
      </c>
      <c r="H24" s="511">
        <v>0.4</v>
      </c>
      <c r="I24" s="408"/>
    </row>
    <row r="25" spans="1:9" ht="16" customHeight="1" x14ac:dyDescent="0.2">
      <c r="A25" s="9" t="s">
        <v>21</v>
      </c>
      <c r="B25" s="23">
        <v>-2.65</v>
      </c>
      <c r="C25" s="23">
        <v>-7.5</v>
      </c>
      <c r="D25" s="395">
        <f>-D21*D22</f>
        <v>-13.125</v>
      </c>
      <c r="E25" s="395">
        <f t="shared" ref="E25:H25" si="4">-E21*E22</f>
        <v>-24.375</v>
      </c>
      <c r="F25" s="395">
        <f t="shared" si="4"/>
        <v>-33.696599122354151</v>
      </c>
      <c r="G25" s="395">
        <f t="shared" si="4"/>
        <v>-54.917398038203402</v>
      </c>
      <c r="H25" s="395">
        <f t="shared" si="4"/>
        <v>-84.823502839442455</v>
      </c>
    </row>
    <row r="26" spans="1:9" ht="16" customHeight="1" x14ac:dyDescent="0.2">
      <c r="A26" s="24" t="s">
        <v>22</v>
      </c>
      <c r="B26" s="19">
        <f>B12+B25</f>
        <v>1.0500000000000003</v>
      </c>
      <c r="C26" s="19">
        <f>C12+C25</f>
        <v>5.6</v>
      </c>
      <c r="D26" s="19">
        <f>D12+D25</f>
        <v>16.875</v>
      </c>
      <c r="E26" s="19">
        <f>E12+E25</f>
        <v>37.625</v>
      </c>
      <c r="F26" s="19">
        <f>F12+F25</f>
        <v>79.203400877645862</v>
      </c>
      <c r="G26" s="19">
        <f>G12+G25</f>
        <v>129.0826019617966</v>
      </c>
      <c r="H26" s="19">
        <f>H12+H25</f>
        <v>199.37649716055759</v>
      </c>
    </row>
    <row r="27" spans="1:9" ht="16" customHeight="1" x14ac:dyDescent="0.2">
      <c r="A27" s="71" t="s">
        <v>23</v>
      </c>
      <c r="B27" s="234">
        <f>B26/B$12</f>
        <v>0.28378378378378383</v>
      </c>
      <c r="C27" s="234">
        <f>C26/C12</f>
        <v>0.42748091603053434</v>
      </c>
      <c r="D27" s="234">
        <f>IF(ISNUMBER(D26),D26/D$12,"")</f>
        <v>0.5625</v>
      </c>
      <c r="E27" s="234">
        <f>IF(ISNUMBER(E26),E26/E$12,"")</f>
        <v>0.60685483870967738</v>
      </c>
      <c r="F27" s="234">
        <f>IF(ISNUMBER(F26),F26/F$12,"")</f>
        <v>0.70153588022715552</v>
      </c>
      <c r="G27" s="234">
        <f>IF(ISNUMBER(G26),G26/G$12,"")</f>
        <v>0.70153588022715541</v>
      </c>
      <c r="H27" s="234">
        <f>IF(ISNUMBER(H26),H26/H$12,"")</f>
        <v>0.70153588022715541</v>
      </c>
    </row>
    <row r="28" spans="1:9" ht="16" customHeight="1" x14ac:dyDescent="0.2">
      <c r="A28" s="71" t="s">
        <v>24</v>
      </c>
      <c r="B28" s="238">
        <v>0.4</v>
      </c>
      <c r="C28" s="238">
        <v>0.33</v>
      </c>
      <c r="D28" s="373">
        <f>IF(ISNUMBER(D21),1-D21/D$12,"")</f>
        <v>0.53333333333333333</v>
      </c>
      <c r="E28" s="234">
        <f>IF(ISNUMBER(E21),1-E21/E$12,"")</f>
        <v>0.58064516129032251</v>
      </c>
      <c r="F28" s="234">
        <f>IF(ISNUMBER(F21),1-F21/F$12,"")</f>
        <v>0.68163827224229911</v>
      </c>
      <c r="G28" s="234">
        <f>IF(ISNUMBER(G21),1-G21/G$12,"")</f>
        <v>0.68163827224229911</v>
      </c>
      <c r="H28" s="234">
        <f>IF(ISNUMBER(H21),1-H21/H$12,"")</f>
        <v>0.68163827224229911</v>
      </c>
    </row>
    <row r="29" spans="1:9" ht="16" customHeight="1" x14ac:dyDescent="0.2"/>
    <row r="30" spans="1:9" ht="16" customHeight="1" x14ac:dyDescent="0.2">
      <c r="A30" s="9" t="s">
        <v>25</v>
      </c>
      <c r="B30" s="22">
        <v>-7.81</v>
      </c>
      <c r="C30" s="22">
        <v>-19.18</v>
      </c>
      <c r="D30" s="17">
        <f t="shared" ref="D30:H32" si="5">D34*D$12</f>
        <v>-24</v>
      </c>
      <c r="E30" s="17">
        <f t="shared" si="5"/>
        <v>-31</v>
      </c>
      <c r="F30" s="17">
        <f t="shared" si="5"/>
        <v>-45.160000000000004</v>
      </c>
      <c r="G30" s="17">
        <f t="shared" si="5"/>
        <v>-73.600000000000009</v>
      </c>
      <c r="H30" s="17">
        <f t="shared" si="5"/>
        <v>-113.68000000000002</v>
      </c>
    </row>
    <row r="31" spans="1:9" ht="16" customHeight="1" x14ac:dyDescent="0.2">
      <c r="A31" s="9" t="s">
        <v>26</v>
      </c>
      <c r="B31" s="23">
        <v>-1.1100000000000001</v>
      </c>
      <c r="C31" s="23">
        <v>-5.73</v>
      </c>
      <c r="D31" s="70">
        <f t="shared" si="5"/>
        <v>-9</v>
      </c>
      <c r="E31" s="70">
        <f t="shared" si="5"/>
        <v>-24.8</v>
      </c>
      <c r="F31" s="70">
        <f t="shared" si="5"/>
        <v>-33.869999999999997</v>
      </c>
      <c r="G31" s="70">
        <f t="shared" si="5"/>
        <v>-55.199999999999996</v>
      </c>
      <c r="H31" s="70">
        <f t="shared" si="5"/>
        <v>-85.26</v>
      </c>
    </row>
    <row r="32" spans="1:9" ht="16" customHeight="1" x14ac:dyDescent="0.2">
      <c r="A32" s="9" t="s">
        <v>27</v>
      </c>
      <c r="B32" s="23">
        <v>-0.90700000000000003</v>
      </c>
      <c r="C32" s="23">
        <v>-1.57</v>
      </c>
      <c r="D32" s="70">
        <f t="shared" si="5"/>
        <v>-3</v>
      </c>
      <c r="E32" s="70">
        <f t="shared" si="5"/>
        <v>-6.2</v>
      </c>
      <c r="F32" s="70">
        <f t="shared" si="5"/>
        <v>-11.290000000000001</v>
      </c>
      <c r="G32" s="70">
        <f t="shared" si="5"/>
        <v>-18.400000000000002</v>
      </c>
      <c r="H32" s="70">
        <f t="shared" si="5"/>
        <v>-28.420000000000005</v>
      </c>
    </row>
    <row r="33" spans="1:9" ht="16" customHeight="1" x14ac:dyDescent="0.2">
      <c r="A33" s="24" t="s">
        <v>28</v>
      </c>
      <c r="B33" s="19">
        <f t="shared" ref="B33:H33" si="6">SUM(B30:B32)</f>
        <v>-9.827</v>
      </c>
      <c r="C33" s="19">
        <f t="shared" si="6"/>
        <v>-26.48</v>
      </c>
      <c r="D33" s="19">
        <f>SUM(D30:D32)</f>
        <v>-36</v>
      </c>
      <c r="E33" s="19">
        <f t="shared" si="6"/>
        <v>-62</v>
      </c>
      <c r="F33" s="19">
        <f t="shared" si="6"/>
        <v>-90.320000000000007</v>
      </c>
      <c r="G33" s="19">
        <f t="shared" si="6"/>
        <v>-147.20000000000002</v>
      </c>
      <c r="H33" s="19">
        <f t="shared" si="6"/>
        <v>-227.36000000000004</v>
      </c>
    </row>
    <row r="34" spans="1:9" ht="16" customHeight="1" x14ac:dyDescent="0.2">
      <c r="A34" s="71" t="s">
        <v>29</v>
      </c>
      <c r="B34" s="234">
        <f t="shared" ref="B34:C36" si="7">B30/B$12</f>
        <v>-2.1108108108108108</v>
      </c>
      <c r="C34" s="234">
        <f t="shared" si="7"/>
        <v>-1.4641221374045801</v>
      </c>
      <c r="D34" s="235">
        <v>-0.8</v>
      </c>
      <c r="E34" s="235">
        <v>-0.5</v>
      </c>
      <c r="F34" s="235">
        <v>-0.4</v>
      </c>
      <c r="G34" s="235">
        <v>-0.4</v>
      </c>
      <c r="H34" s="235">
        <v>-0.4</v>
      </c>
      <c r="I34" s="234"/>
    </row>
    <row r="35" spans="1:9" ht="16" customHeight="1" x14ac:dyDescent="0.2">
      <c r="A35" s="71" t="s">
        <v>30</v>
      </c>
      <c r="B35" s="234">
        <f t="shared" si="7"/>
        <v>-0.3</v>
      </c>
      <c r="C35" s="234">
        <f t="shared" si="7"/>
        <v>-0.43740458015267181</v>
      </c>
      <c r="D35" s="235">
        <v>-0.3</v>
      </c>
      <c r="E35" s="235">
        <v>-0.4</v>
      </c>
      <c r="F35" s="235">
        <v>-0.3</v>
      </c>
      <c r="G35" s="235">
        <v>-0.3</v>
      </c>
      <c r="H35" s="235">
        <v>-0.3</v>
      </c>
      <c r="I35" s="234"/>
    </row>
    <row r="36" spans="1:9" ht="16" customHeight="1" x14ac:dyDescent="0.2">
      <c r="A36" s="71" t="s">
        <v>31</v>
      </c>
      <c r="B36" s="234">
        <f t="shared" si="7"/>
        <v>-0.24513513513513513</v>
      </c>
      <c r="C36" s="234">
        <f t="shared" si="7"/>
        <v>-0.11984732824427481</v>
      </c>
      <c r="D36" s="235">
        <v>-0.1</v>
      </c>
      <c r="E36" s="235">
        <v>-0.1</v>
      </c>
      <c r="F36" s="235">
        <v>-0.1</v>
      </c>
      <c r="G36" s="235">
        <v>-0.1</v>
      </c>
      <c r="H36" s="235">
        <v>-0.1</v>
      </c>
      <c r="I36" s="234"/>
    </row>
    <row r="37" spans="1:9" ht="16" customHeight="1" x14ac:dyDescent="0.2">
      <c r="B37" s="233"/>
      <c r="C37" s="233"/>
      <c r="D37" s="233"/>
      <c r="E37" s="233"/>
      <c r="F37" s="233"/>
      <c r="G37" s="233"/>
      <c r="H37" s="269"/>
      <c r="I37" s="269"/>
    </row>
    <row r="38" spans="1:9" ht="16" customHeight="1" x14ac:dyDescent="0.2">
      <c r="A38" s="71" t="s">
        <v>32</v>
      </c>
      <c r="B38" s="234">
        <f t="shared" ref="B38:H40" si="8">B30/B$33</f>
        <v>0.79474916047623889</v>
      </c>
      <c r="C38" s="234">
        <f t="shared" si="8"/>
        <v>0.72432024169184284</v>
      </c>
      <c r="D38" s="234">
        <f t="shared" si="8"/>
        <v>0.66666666666666663</v>
      </c>
      <c r="E38" s="234">
        <f t="shared" si="8"/>
        <v>0.5</v>
      </c>
      <c r="F38" s="234">
        <f t="shared" si="8"/>
        <v>0.5</v>
      </c>
      <c r="G38" s="234">
        <f t="shared" si="8"/>
        <v>0.5</v>
      </c>
      <c r="H38" s="234">
        <f t="shared" si="8"/>
        <v>0.5</v>
      </c>
      <c r="I38" s="241"/>
    </row>
    <row r="39" spans="1:9" ht="16" customHeight="1" x14ac:dyDescent="0.2">
      <c r="A39" s="71" t="s">
        <v>33</v>
      </c>
      <c r="B39" s="234">
        <f t="shared" si="8"/>
        <v>0.11295410603439504</v>
      </c>
      <c r="C39" s="234">
        <f t="shared" si="8"/>
        <v>0.21638972809667675</v>
      </c>
      <c r="D39" s="234">
        <f t="shared" si="8"/>
        <v>0.25</v>
      </c>
      <c r="E39" s="234">
        <f t="shared" si="8"/>
        <v>0.4</v>
      </c>
      <c r="F39" s="234">
        <f t="shared" si="8"/>
        <v>0.37499999999999994</v>
      </c>
      <c r="G39" s="234">
        <f t="shared" si="8"/>
        <v>0.37499999999999994</v>
      </c>
      <c r="H39" s="234">
        <f t="shared" si="8"/>
        <v>0.37499999999999994</v>
      </c>
      <c r="I39" s="241"/>
    </row>
    <row r="40" spans="1:9" ht="16" customHeight="1" x14ac:dyDescent="0.2">
      <c r="A40" s="71" t="s">
        <v>34</v>
      </c>
      <c r="B40" s="234">
        <f t="shared" si="8"/>
        <v>9.229673348936604E-2</v>
      </c>
      <c r="C40" s="234">
        <f t="shared" si="8"/>
        <v>5.9290030211480362E-2</v>
      </c>
      <c r="D40" s="234">
        <f t="shared" si="8"/>
        <v>8.3333333333333329E-2</v>
      </c>
      <c r="E40" s="234">
        <f t="shared" si="8"/>
        <v>0.1</v>
      </c>
      <c r="F40" s="234">
        <f t="shared" si="8"/>
        <v>0.125</v>
      </c>
      <c r="G40" s="234">
        <f t="shared" si="8"/>
        <v>0.125</v>
      </c>
      <c r="H40" s="234">
        <f t="shared" si="8"/>
        <v>0.125</v>
      </c>
      <c r="I40" s="241"/>
    </row>
    <row r="41" spans="1:9" ht="16" customHeight="1" x14ac:dyDescent="0.2">
      <c r="A41" s="8"/>
      <c r="B41" s="14"/>
      <c r="C41" s="14"/>
      <c r="D41" s="14"/>
      <c r="E41" s="14"/>
      <c r="F41" s="14"/>
      <c r="G41" s="14"/>
      <c r="H41" s="14"/>
    </row>
    <row r="42" spans="1:9" ht="16" customHeight="1" x14ac:dyDescent="0.2">
      <c r="A42" s="35" t="s">
        <v>35</v>
      </c>
      <c r="B42" s="69">
        <f>B26+B33</f>
        <v>-8.7769999999999992</v>
      </c>
      <c r="C42" s="69">
        <f>C26+C33</f>
        <v>-20.880000000000003</v>
      </c>
      <c r="D42" s="402">
        <f>D47</f>
        <v>-14</v>
      </c>
      <c r="E42" s="397">
        <f>IF(ISNUMBER(E26),E26+E33,"")</f>
        <v>-24.375</v>
      </c>
      <c r="F42" s="397">
        <f>IF(ISNUMBER(F26),F26+F33,"")</f>
        <v>-11.116599122354145</v>
      </c>
      <c r="G42" s="397">
        <f>IF(ISNUMBER(G26),G26+G33,"")</f>
        <v>-18.117398038203419</v>
      </c>
      <c r="H42" s="397">
        <f>IF(ISNUMBER(H26),H26+H33,"")</f>
        <v>-27.983502839442451</v>
      </c>
    </row>
    <row r="43" spans="1:9" ht="16" customHeight="1" x14ac:dyDescent="0.2">
      <c r="A43" s="71" t="s">
        <v>23</v>
      </c>
      <c r="B43" s="234">
        <f>B42/B12</f>
        <v>-2.3721621621621618</v>
      </c>
      <c r="C43" s="234">
        <f>C42/C12</f>
        <v>-1.5938931297709926</v>
      </c>
      <c r="D43" s="234">
        <f>D42/D12</f>
        <v>-0.46666666666666667</v>
      </c>
      <c r="E43" s="398">
        <f>IF(ISNUMBER(E42),E42/E$12,"")</f>
        <v>-0.39314516129032256</v>
      </c>
      <c r="F43" s="398">
        <f>IF(ISNUMBER(F42),F42/F$12,"")</f>
        <v>-9.8464119772844513E-2</v>
      </c>
      <c r="G43" s="398">
        <f>IF(ISNUMBER(G42),G42/G$12,"")</f>
        <v>-9.8464119772844666E-2</v>
      </c>
      <c r="H43" s="398">
        <f>IF(ISNUMBER(H42),H42/H$12,"")</f>
        <v>-9.8464119772844638E-2</v>
      </c>
    </row>
    <row r="44" spans="1:9" ht="16" customHeight="1" x14ac:dyDescent="0.2"/>
    <row r="45" spans="1:9" ht="16" customHeight="1" x14ac:dyDescent="0.2">
      <c r="A45" s="9" t="s">
        <v>36</v>
      </c>
      <c r="B45" s="70"/>
      <c r="C45" s="23">
        <v>-41.55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 spans="1:9" ht="16" customHeight="1" x14ac:dyDescent="0.2">
      <c r="A46" s="18" t="s">
        <v>37</v>
      </c>
      <c r="B46" s="23">
        <v>-0.06</v>
      </c>
      <c r="C46" s="23">
        <v>2.12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 spans="1:9" ht="16" customHeight="1" x14ac:dyDescent="0.2">
      <c r="A47" s="35" t="s">
        <v>38</v>
      </c>
      <c r="B47" s="164">
        <f>B42+B45+B46</f>
        <v>-8.8369999999999997</v>
      </c>
      <c r="C47" s="164">
        <f>C42+C45+C46</f>
        <v>-60.31</v>
      </c>
      <c r="D47" s="166">
        <v>-14</v>
      </c>
      <c r="E47" s="399">
        <f>IF(ISNUMBER(E42),E42+E45+E46,"")</f>
        <v>-24.375</v>
      </c>
      <c r="F47" s="399">
        <f>IF(ISNUMBER(F42),F42+F45+F46,"")</f>
        <v>-11.116599122354145</v>
      </c>
      <c r="G47" s="399">
        <f>IF(ISNUMBER(G42),G42+G45+G46,"")</f>
        <v>-18.117398038203419</v>
      </c>
      <c r="H47" s="399">
        <f>IF(ISNUMBER(H42),H42+H45+H46,"")</f>
        <v>-27.983502839442451</v>
      </c>
    </row>
    <row r="48" spans="1:9" ht="16" customHeight="1" x14ac:dyDescent="0.2">
      <c r="A48" s="71" t="s">
        <v>23</v>
      </c>
      <c r="B48" s="234">
        <f>B50/B12</f>
        <v>-1.3775675675675674</v>
      </c>
      <c r="C48" s="234">
        <f>C50/C12</f>
        <v>-2.938167938931298</v>
      </c>
      <c r="D48" s="398">
        <f>D47/D12</f>
        <v>-0.46666666666666667</v>
      </c>
      <c r="E48" s="398">
        <f>IF(ISNUMBER(E47),E47/E$12,"")</f>
        <v>-0.39314516129032256</v>
      </c>
      <c r="F48" s="398">
        <f>IF(ISNUMBER(F47),F47/F$12,"")</f>
        <v>-9.8464119772844513E-2</v>
      </c>
      <c r="G48" s="398">
        <f>IF(ISNUMBER(G47),G47/G$12,"")</f>
        <v>-9.8464119772844666E-2</v>
      </c>
      <c r="H48" s="398">
        <f>IF(ISNUMBER(H47),H47/H$12,"")</f>
        <v>-9.8464119772844638E-2</v>
      </c>
    </row>
    <row r="49" spans="1:12" ht="16" customHeight="1" x14ac:dyDescent="0.2">
      <c r="A49" s="71" t="s">
        <v>39</v>
      </c>
      <c r="B49" s="165">
        <v>3.74</v>
      </c>
      <c r="C49" s="165">
        <v>21.82</v>
      </c>
      <c r="D49" s="165"/>
      <c r="E49" s="68"/>
      <c r="F49" s="68"/>
      <c r="G49" s="68"/>
    </row>
    <row r="50" spans="1:12" ht="16" customHeight="1" x14ac:dyDescent="0.2">
      <c r="A50" s="71" t="s">
        <v>40</v>
      </c>
      <c r="B50" s="165">
        <f>B47+B49</f>
        <v>-5.0969999999999995</v>
      </c>
      <c r="C50" s="165">
        <f>C47+C49</f>
        <v>-38.49</v>
      </c>
      <c r="D50" s="165"/>
      <c r="E50" s="68"/>
      <c r="F50" s="68"/>
      <c r="G50" s="68"/>
    </row>
    <row r="51" spans="1:12" ht="16" customHeight="1" x14ac:dyDescent="0.2">
      <c r="A51" s="9" t="s">
        <v>41</v>
      </c>
      <c r="B51" s="17" t="str">
        <f>IF(AND(ISNUMBER(B52),ISNUMBER(B42)),B52-B42,"")</f>
        <v/>
      </c>
      <c r="C51" s="17">
        <f>IF(AND(ISNUMBER(C52),ISNUMBER(C42)),C52-C42,"")</f>
        <v>12.880000000000003</v>
      </c>
      <c r="D51" s="17">
        <f>IF(AND(ISNUMBER(D52),ISNUMBER(D42)),D52-D42,"")</f>
        <v>-11</v>
      </c>
      <c r="E51" s="17">
        <f>IF(AND(ISNUMBER(E52),ISNUMBER(E42)),E52-E42,"")</f>
        <v>-32.625</v>
      </c>
      <c r="F51" s="17">
        <f>IF(AND(ISNUMBER(F52),ISNUMBER(F42)),F52-F42,"")</f>
        <v>-73.983400877645849</v>
      </c>
      <c r="G51" s="17">
        <f>IF(AND(ISNUMBER(G52),ISNUMBER(G42)),G52-G42,"")</f>
        <v>-32.882601961796581</v>
      </c>
      <c r="H51" s="17">
        <f>IF(AND(ISNUMBER(H52),ISNUMBER(H42)),H52-H42,"")</f>
        <v>67.983502839442451</v>
      </c>
    </row>
    <row r="52" spans="1:12" ht="16" customHeight="1" x14ac:dyDescent="0.2">
      <c r="A52" s="67" t="s">
        <v>42</v>
      </c>
      <c r="B52" s="164"/>
      <c r="C52" s="307">
        <v>-8</v>
      </c>
      <c r="D52" s="308">
        <f>'Press Pull'!E162</f>
        <v>-25</v>
      </c>
      <c r="E52" s="318">
        <f>'Press Pull'!E163</f>
        <v>-57</v>
      </c>
      <c r="F52" s="318">
        <f>'Press Pull'!E2</f>
        <v>-85.1</v>
      </c>
      <c r="G52" s="318">
        <f>'Press Pull'!E108</f>
        <v>-51</v>
      </c>
      <c r="H52" s="318">
        <f>'Press Pull'!E164</f>
        <v>40</v>
      </c>
      <c r="J52" s="161" t="s">
        <v>43</v>
      </c>
    </row>
    <row r="53" spans="1:12" ht="16" customHeight="1" x14ac:dyDescent="0.2">
      <c r="A53" s="71" t="s">
        <v>23</v>
      </c>
      <c r="C53" s="234">
        <f t="shared" ref="C53:H53" si="9">C52/C$12</f>
        <v>-0.61068702290076338</v>
      </c>
      <c r="D53" s="234">
        <f t="shared" si="9"/>
        <v>-0.83333333333333337</v>
      </c>
      <c r="E53" s="234">
        <f t="shared" si="9"/>
        <v>-0.91935483870967738</v>
      </c>
      <c r="F53" s="234">
        <f t="shared" si="9"/>
        <v>-0.75376439326837896</v>
      </c>
      <c r="G53" s="234">
        <f t="shared" si="9"/>
        <v>-0.27717391304347827</v>
      </c>
      <c r="H53" s="234">
        <f t="shared" si="9"/>
        <v>0.14074595355383532</v>
      </c>
    </row>
    <row r="54" spans="1:12" ht="16" customHeight="1" x14ac:dyDescent="0.2">
      <c r="A54" s="71"/>
    </row>
    <row r="55" spans="1:12" ht="16" customHeight="1" x14ac:dyDescent="0.2">
      <c r="A55" s="317" t="s">
        <v>142</v>
      </c>
      <c r="B55" s="313"/>
      <c r="C55" s="314"/>
      <c r="D55" s="313"/>
      <c r="E55" s="313"/>
      <c r="F55" s="313"/>
      <c r="G55" s="313"/>
      <c r="H55" s="313"/>
      <c r="I55" s="470"/>
      <c r="J55" s="470"/>
      <c r="K55" s="470"/>
      <c r="L55" s="470"/>
    </row>
    <row r="56" spans="1:12" ht="16" customHeight="1" x14ac:dyDescent="0.2">
      <c r="A56" s="315" t="s">
        <v>735</v>
      </c>
      <c r="B56" s="312"/>
      <c r="C56" s="312"/>
      <c r="D56" s="312"/>
      <c r="E56" s="312"/>
      <c r="F56" s="312"/>
      <c r="G56" s="312"/>
      <c r="H56" s="312"/>
      <c r="I56" s="470"/>
      <c r="J56" s="470"/>
      <c r="K56" s="470"/>
    </row>
    <row r="57" spans="1:12" ht="16" customHeight="1" x14ac:dyDescent="0.2">
      <c r="A57" s="9" t="s">
        <v>78</v>
      </c>
      <c r="D57" s="22">
        <v>665</v>
      </c>
    </row>
    <row r="58" spans="1:12" ht="16" customHeight="1" x14ac:dyDescent="0.2">
      <c r="A58" s="68" t="s">
        <v>79</v>
      </c>
      <c r="D58" s="215">
        <v>440</v>
      </c>
    </row>
    <row r="59" spans="1:12" ht="16" customHeight="1" x14ac:dyDescent="0.2">
      <c r="A59" s="9" t="s">
        <v>80</v>
      </c>
      <c r="D59" s="22">
        <v>40</v>
      </c>
    </row>
    <row r="60" spans="1:12" ht="16" customHeight="1" x14ac:dyDescent="0.2">
      <c r="A60" s="9" t="s">
        <v>81</v>
      </c>
      <c r="D60" s="22">
        <v>100</v>
      </c>
    </row>
    <row r="61" spans="1:12" ht="16" customHeight="1" x14ac:dyDescent="0.2">
      <c r="A61" s="8" t="s">
        <v>82</v>
      </c>
      <c r="D61" s="212">
        <f>SUM(D59:D60)</f>
        <v>140</v>
      </c>
    </row>
    <row r="62" spans="1:12" ht="16" customHeight="1" x14ac:dyDescent="0.2">
      <c r="A62" s="8"/>
      <c r="D62" s="212"/>
    </row>
    <row r="63" spans="1:12" ht="16" customHeight="1" x14ac:dyDescent="0.2">
      <c r="A63" s="174" t="s">
        <v>208</v>
      </c>
      <c r="B63" s="174"/>
      <c r="C63" s="174"/>
      <c r="D63" s="515">
        <f>IFERROR(D61/D57,"n/m")</f>
        <v>0.21052631578947367</v>
      </c>
    </row>
    <row r="64" spans="1:12" ht="16" customHeight="1" x14ac:dyDescent="0.2">
      <c r="A64" s="174" t="s">
        <v>209</v>
      </c>
      <c r="B64" s="174"/>
      <c r="C64" s="174"/>
      <c r="D64" s="320">
        <v>-44</v>
      </c>
    </row>
    <row r="65" spans="1:9" ht="16" customHeight="1" x14ac:dyDescent="0.2">
      <c r="A65" s="231" t="s">
        <v>689</v>
      </c>
      <c r="D65" s="396">
        <f>IF(AND(ISNUMBER(D47),ISNUMBER(D23)),D47-D23,"")</f>
        <v>-46</v>
      </c>
      <c r="E65" s="396">
        <f>IF(AND(ISNUMBER(E47),ISNUMBER(E23)),E47-E23,"")</f>
        <v>-89.375</v>
      </c>
      <c r="F65" s="396">
        <f>IF(AND(ISNUMBER(F47),ISNUMBER(F23)),F47-F23,"")</f>
        <v>-96.866599122354145</v>
      </c>
      <c r="G65" s="396">
        <f>IF(AND(ISNUMBER(G47),ISNUMBER(G23)),G47-G23,"")</f>
        <v>-138.16739803820343</v>
      </c>
      <c r="H65" s="396">
        <f>IF(AND(ISNUMBER(H47),ISNUMBER(H23)),H47-H23,"")</f>
        <v>-165.18350283944247</v>
      </c>
    </row>
    <row r="66" spans="1:9" ht="16" customHeight="1" x14ac:dyDescent="0.2"/>
    <row r="67" spans="1:9" ht="16" customHeight="1" x14ac:dyDescent="0.2">
      <c r="A67" s="26" t="s">
        <v>66</v>
      </c>
      <c r="B67" s="27"/>
      <c r="C67" s="27"/>
      <c r="D67" s="27"/>
      <c r="E67" s="27"/>
      <c r="F67" s="27"/>
      <c r="G67" s="27"/>
      <c r="H67" s="27"/>
      <c r="I67" s="27"/>
    </row>
    <row r="68" spans="1:9" ht="16" customHeight="1" x14ac:dyDescent="0.2">
      <c r="A68" s="321" t="s">
        <v>44</v>
      </c>
      <c r="B68" s="322">
        <f>'Margin Model'!$H$28</f>
        <v>0.9164578111946533</v>
      </c>
      <c r="C68" s="322">
        <f>'Margin Model'!$H$28</f>
        <v>0.9164578111946533</v>
      </c>
      <c r="D68" s="322">
        <f>'Margin Model'!$H$28</f>
        <v>0.9164578111946533</v>
      </c>
      <c r="E68" s="322">
        <f>'Margin Model'!$H$28</f>
        <v>0.9164578111946533</v>
      </c>
      <c r="F68" s="322">
        <f>'Margin Model'!$H$28</f>
        <v>0.9164578111946533</v>
      </c>
      <c r="G68" s="322">
        <f>'Margin Model'!$H$28</f>
        <v>0.9164578111946533</v>
      </c>
      <c r="H68" s="322">
        <f>'Margin Model'!$H$28</f>
        <v>0.9164578111946533</v>
      </c>
    </row>
    <row r="69" spans="1:9" ht="16" customHeight="1" x14ac:dyDescent="0.2">
      <c r="A69" s="213" t="s">
        <v>45</v>
      </c>
      <c r="B69" s="233">
        <f>IF(B27="","",B27-B68)</f>
        <v>-0.63267402741086953</v>
      </c>
      <c r="C69" s="233">
        <f>IF(C27="","",C27-C68)</f>
        <v>-0.48897689516411896</v>
      </c>
      <c r="D69" s="233">
        <f>IF(D27="","",D27-D68)</f>
        <v>-0.3539578111946533</v>
      </c>
      <c r="E69" s="233">
        <f>IF(E27="","",E27-E68)</f>
        <v>-0.30960297248497592</v>
      </c>
      <c r="F69" s="233">
        <f>IF(F27="","",F27-F68)</f>
        <v>-0.21492193096749779</v>
      </c>
      <c r="G69" s="233">
        <f>IF(G27="","",G27-G68)</f>
        <v>-0.2149219309674979</v>
      </c>
      <c r="H69" s="233">
        <f>IF(H27="","",H27-H68)</f>
        <v>-0.2149219309674979</v>
      </c>
    </row>
    <row r="70" spans="1:9" ht="16" customHeight="1" x14ac:dyDescent="0.2">
      <c r="A70" s="249" t="s">
        <v>46</v>
      </c>
      <c r="B70" s="279">
        <f t="shared" ref="B70:H70" si="10">IF(B27="","",B27)</f>
        <v>0.28378378378378383</v>
      </c>
      <c r="C70" s="279">
        <f t="shared" si="10"/>
        <v>0.42748091603053434</v>
      </c>
      <c r="D70" s="279">
        <f t="shared" si="10"/>
        <v>0.5625</v>
      </c>
      <c r="E70" s="279">
        <f t="shared" si="10"/>
        <v>0.60685483870967738</v>
      </c>
      <c r="F70" s="279">
        <f t="shared" si="10"/>
        <v>0.70153588022715552</v>
      </c>
      <c r="G70" s="279">
        <f t="shared" si="10"/>
        <v>0.70153588022715541</v>
      </c>
      <c r="H70" s="279">
        <f t="shared" si="10"/>
        <v>0.70153588022715541</v>
      </c>
    </row>
    <row r="71" spans="1:9" ht="16" customHeight="1" x14ac:dyDescent="0.2">
      <c r="A71" s="9" t="s">
        <v>47</v>
      </c>
      <c r="B71" s="269">
        <f t="shared" ref="B71:H73" si="11">B34</f>
        <v>-2.1108108108108108</v>
      </c>
      <c r="C71" s="269">
        <f t="shared" si="11"/>
        <v>-1.4641221374045801</v>
      </c>
      <c r="D71" s="269">
        <f t="shared" si="11"/>
        <v>-0.8</v>
      </c>
      <c r="E71" s="269">
        <f t="shared" si="11"/>
        <v>-0.5</v>
      </c>
      <c r="F71" s="269">
        <f t="shared" si="11"/>
        <v>-0.4</v>
      </c>
      <c r="G71" s="269">
        <f t="shared" si="11"/>
        <v>-0.4</v>
      </c>
      <c r="H71" s="269">
        <f t="shared" si="11"/>
        <v>-0.4</v>
      </c>
    </row>
    <row r="72" spans="1:9" ht="16" customHeight="1" x14ac:dyDescent="0.2">
      <c r="A72" s="9" t="s">
        <v>48</v>
      </c>
      <c r="B72" s="269">
        <f t="shared" si="11"/>
        <v>-0.3</v>
      </c>
      <c r="C72" s="269">
        <f t="shared" si="11"/>
        <v>-0.43740458015267181</v>
      </c>
      <c r="D72" s="269">
        <f t="shared" si="11"/>
        <v>-0.3</v>
      </c>
      <c r="E72" s="269">
        <f t="shared" si="11"/>
        <v>-0.4</v>
      </c>
      <c r="F72" s="269">
        <f t="shared" si="11"/>
        <v>-0.3</v>
      </c>
      <c r="G72" s="269">
        <f t="shared" si="11"/>
        <v>-0.3</v>
      </c>
      <c r="H72" s="269">
        <f t="shared" si="11"/>
        <v>-0.3</v>
      </c>
    </row>
    <row r="73" spans="1:9" ht="16" customHeight="1" x14ac:dyDescent="0.2">
      <c r="A73" s="9" t="s">
        <v>49</v>
      </c>
      <c r="B73" s="269">
        <f t="shared" si="11"/>
        <v>-0.24513513513513513</v>
      </c>
      <c r="C73" s="269">
        <f t="shared" si="11"/>
        <v>-0.11984732824427481</v>
      </c>
      <c r="D73" s="269">
        <f t="shared" si="11"/>
        <v>-0.1</v>
      </c>
      <c r="E73" s="269">
        <f t="shared" si="11"/>
        <v>-0.1</v>
      </c>
      <c r="F73" s="269">
        <f t="shared" si="11"/>
        <v>-0.1</v>
      </c>
      <c r="G73" s="269">
        <f t="shared" si="11"/>
        <v>-0.1</v>
      </c>
      <c r="H73" s="269">
        <f t="shared" si="11"/>
        <v>-0.1</v>
      </c>
    </row>
    <row r="74" spans="1:9" ht="16" customHeight="1" x14ac:dyDescent="0.2">
      <c r="A74" s="249" t="s">
        <v>50</v>
      </c>
      <c r="B74" s="279">
        <f t="shared" ref="B74:H74" si="12">IF(B43="","",B43)</f>
        <v>-2.3721621621621618</v>
      </c>
      <c r="C74" s="279">
        <f t="shared" si="12"/>
        <v>-1.5938931297709926</v>
      </c>
      <c r="D74" s="279">
        <f t="shared" si="12"/>
        <v>-0.46666666666666667</v>
      </c>
      <c r="E74" s="279">
        <f t="shared" si="12"/>
        <v>-0.39314516129032256</v>
      </c>
      <c r="F74" s="279">
        <f t="shared" si="12"/>
        <v>-9.8464119772844513E-2</v>
      </c>
      <c r="G74" s="279">
        <f t="shared" si="12"/>
        <v>-9.8464119772844666E-2</v>
      </c>
      <c r="H74" s="279">
        <f t="shared" si="12"/>
        <v>-9.8464119772844638E-2</v>
      </c>
    </row>
    <row r="75" spans="1:9" ht="16" customHeight="1" x14ac:dyDescent="0.2">
      <c r="A75" s="213"/>
      <c r="B75" s="311"/>
      <c r="C75" s="311"/>
      <c r="D75" s="311"/>
      <c r="E75" s="311"/>
      <c r="F75" s="311"/>
      <c r="G75" s="311"/>
      <c r="H75" s="233"/>
    </row>
    <row r="76" spans="1:9" ht="16" customHeight="1" x14ac:dyDescent="0.2">
      <c r="A76" s="9" t="s">
        <v>67</v>
      </c>
      <c r="C76" s="159">
        <v>0.8</v>
      </c>
      <c r="D76" s="159">
        <v>0.91</v>
      </c>
      <c r="E76" s="159"/>
      <c r="H76" s="159">
        <v>2.75</v>
      </c>
      <c r="I76" s="159"/>
    </row>
    <row r="77" spans="1:9" ht="16" customHeight="1" x14ac:dyDescent="0.2">
      <c r="A77" s="68"/>
      <c r="B77" s="394"/>
    </row>
    <row r="78" spans="1:9" ht="16" customHeight="1" x14ac:dyDescent="0.2">
      <c r="A78" s="26" t="s">
        <v>51</v>
      </c>
      <c r="B78" s="27"/>
      <c r="C78" s="27"/>
      <c r="D78" s="27"/>
      <c r="E78" s="27"/>
      <c r="F78" s="27"/>
      <c r="G78" s="27"/>
      <c r="H78" s="27"/>
    </row>
    <row r="79" spans="1:9" s="278" customFormat="1" ht="16" customHeight="1" x14ac:dyDescent="0.2">
      <c r="A79" s="9" t="s">
        <v>52</v>
      </c>
      <c r="C79" s="287">
        <v>35</v>
      </c>
    </row>
    <row r="80" spans="1:9" s="278" customFormat="1" ht="16" customHeight="1" x14ac:dyDescent="0.2">
      <c r="A80" s="9" t="s">
        <v>53</v>
      </c>
      <c r="C80" s="288">
        <v>19</v>
      </c>
    </row>
    <row r="81" spans="1:8" s="278" customFormat="1" ht="16" customHeight="1" x14ac:dyDescent="0.2">
      <c r="A81" s="67" t="s">
        <v>54</v>
      </c>
      <c r="B81" s="297"/>
      <c r="C81" s="298">
        <f>C79*C80*12/1000</f>
        <v>7.98</v>
      </c>
      <c r="D81" s="297"/>
      <c r="E81" s="297"/>
      <c r="F81" s="297"/>
      <c r="G81" s="297"/>
      <c r="H81" s="297"/>
    </row>
    <row r="82" spans="1:8" s="278" customFormat="1" ht="16" customHeight="1" x14ac:dyDescent="0.2">
      <c r="A82" s="71" t="s">
        <v>55</v>
      </c>
      <c r="B82" s="294"/>
      <c r="C82" s="294">
        <f>C8</f>
        <v>8.6</v>
      </c>
      <c r="D82" s="294"/>
      <c r="E82" s="294"/>
      <c r="F82" s="294"/>
      <c r="G82" s="294"/>
      <c r="H82" s="294"/>
    </row>
    <row r="83" spans="1:8" ht="16" customHeight="1" x14ac:dyDescent="0.2">
      <c r="A83" s="71" t="s">
        <v>56</v>
      </c>
      <c r="B83" s="234"/>
      <c r="C83" s="234">
        <f>(C81/C82)-1</f>
        <v>-7.2093023255813904E-2</v>
      </c>
      <c r="D83" s="234"/>
      <c r="E83" s="234"/>
      <c r="F83" s="234"/>
      <c r="G83" s="234"/>
      <c r="H83" s="234"/>
    </row>
    <row r="84" spans="1:8" s="278" customFormat="1" ht="16" customHeight="1" x14ac:dyDescent="0.2">
      <c r="A84" s="277"/>
      <c r="C84" s="289"/>
    </row>
    <row r="85" spans="1:8" s="278" customFormat="1" ht="16" customHeight="1" x14ac:dyDescent="0.2">
      <c r="A85" s="278" t="s">
        <v>57</v>
      </c>
      <c r="C85" s="290">
        <v>5</v>
      </c>
    </row>
    <row r="86" spans="1:8" s="278" customFormat="1" ht="16" customHeight="1" x14ac:dyDescent="0.2">
      <c r="A86" s="278" t="s">
        <v>58</v>
      </c>
      <c r="C86" s="293">
        <v>500</v>
      </c>
    </row>
    <row r="87" spans="1:8" s="278" customFormat="1" ht="16" customHeight="1" x14ac:dyDescent="0.2">
      <c r="A87" s="67" t="s">
        <v>59</v>
      </c>
      <c r="B87" s="297"/>
      <c r="C87" s="299">
        <f>C85*C86/1000</f>
        <v>2.5</v>
      </c>
      <c r="D87" s="297"/>
      <c r="E87" s="297"/>
      <c r="F87" s="297"/>
      <c r="G87" s="297"/>
      <c r="H87" s="297"/>
    </row>
    <row r="88" spans="1:8" s="278" customFormat="1" ht="16" customHeight="1" x14ac:dyDescent="0.2">
      <c r="A88" s="71" t="s">
        <v>55</v>
      </c>
      <c r="B88" s="294"/>
      <c r="C88" s="294">
        <f>C9</f>
        <v>2.4</v>
      </c>
      <c r="D88" s="294"/>
      <c r="E88" s="294"/>
      <c r="F88" s="294"/>
      <c r="G88" s="294"/>
      <c r="H88" s="294"/>
    </row>
    <row r="89" spans="1:8" ht="16" customHeight="1" x14ac:dyDescent="0.2">
      <c r="A89" s="71" t="s">
        <v>56</v>
      </c>
      <c r="B89" s="234"/>
      <c r="C89" s="234">
        <f>(C87/C88)-1</f>
        <v>4.1666666666666741E-2</v>
      </c>
      <c r="D89" s="234"/>
      <c r="E89" s="234"/>
      <c r="F89" s="234"/>
      <c r="G89" s="234"/>
      <c r="H89" s="234"/>
    </row>
    <row r="90" spans="1:8" s="278" customFormat="1" ht="16" customHeight="1" x14ac:dyDescent="0.2">
      <c r="A90" s="277"/>
      <c r="C90" s="289"/>
    </row>
    <row r="91" spans="1:8" s="278" customFormat="1" ht="16" customHeight="1" x14ac:dyDescent="0.2">
      <c r="A91" s="278" t="s">
        <v>60</v>
      </c>
      <c r="C91" s="291">
        <v>400</v>
      </c>
    </row>
    <row r="92" spans="1:8" s="278" customFormat="1" ht="16" customHeight="1" x14ac:dyDescent="0.2">
      <c r="A92" s="278" t="s">
        <v>61</v>
      </c>
      <c r="C92" s="292">
        <v>5</v>
      </c>
    </row>
    <row r="93" spans="1:8" s="278" customFormat="1" ht="16" customHeight="1" x14ac:dyDescent="0.2">
      <c r="A93" s="67" t="s">
        <v>62</v>
      </c>
      <c r="B93" s="297"/>
      <c r="C93" s="298">
        <f>C91*C92/1000</f>
        <v>2</v>
      </c>
      <c r="D93" s="297"/>
      <c r="E93" s="297"/>
      <c r="F93" s="297"/>
      <c r="G93" s="297"/>
      <c r="H93" s="297"/>
    </row>
    <row r="94" spans="1:8" s="278" customFormat="1" ht="16" customHeight="1" x14ac:dyDescent="0.2">
      <c r="A94" s="71" t="s">
        <v>55</v>
      </c>
      <c r="B94" s="294"/>
      <c r="C94" s="294">
        <f>C10</f>
        <v>2.1</v>
      </c>
      <c r="D94" s="294"/>
      <c r="E94" s="294"/>
      <c r="F94" s="294"/>
      <c r="G94" s="294"/>
      <c r="H94" s="294"/>
    </row>
    <row r="95" spans="1:8" ht="16" customHeight="1" x14ac:dyDescent="0.2">
      <c r="A95" s="71" t="s">
        <v>56</v>
      </c>
      <c r="B95" s="234"/>
      <c r="C95" s="234">
        <f>(C93/C94)-1</f>
        <v>-4.7619047619047672E-2</v>
      </c>
      <c r="D95" s="234"/>
      <c r="E95" s="234"/>
      <c r="F95" s="234"/>
      <c r="G95" s="234"/>
      <c r="H95" s="234"/>
    </row>
    <row r="96" spans="1:8" s="278" customFormat="1" ht="16" customHeight="1" x14ac:dyDescent="0.2">
      <c r="A96" s="9"/>
    </row>
    <row r="97" spans="1:9" s="278" customFormat="1" ht="16" customHeight="1" x14ac:dyDescent="0.2">
      <c r="A97" s="278" t="s">
        <v>57</v>
      </c>
      <c r="C97" s="285">
        <v>1</v>
      </c>
    </row>
    <row r="98" spans="1:9" s="278" customFormat="1" ht="16" customHeight="1" x14ac:dyDescent="0.2">
      <c r="A98" s="278" t="s">
        <v>58</v>
      </c>
      <c r="C98" s="286">
        <v>0.5</v>
      </c>
    </row>
    <row r="99" spans="1:9" s="278" customFormat="1" ht="16" customHeight="1" x14ac:dyDescent="0.2">
      <c r="A99" s="67" t="s">
        <v>63</v>
      </c>
      <c r="B99" s="297"/>
      <c r="C99" s="300">
        <f>C97*C98</f>
        <v>0.5</v>
      </c>
      <c r="D99" s="297"/>
      <c r="E99" s="297"/>
      <c r="F99" s="297"/>
      <c r="G99" s="297"/>
      <c r="H99" s="297"/>
    </row>
    <row r="100" spans="1:9" s="278" customFormat="1" ht="16" customHeight="1" x14ac:dyDescent="0.2">
      <c r="A100" s="71" t="s">
        <v>55</v>
      </c>
      <c r="B100" s="294"/>
      <c r="C100" s="294"/>
      <c r="D100" s="294"/>
      <c r="E100" s="294"/>
      <c r="F100" s="294"/>
      <c r="G100" s="294"/>
      <c r="H100" s="294"/>
    </row>
    <row r="101" spans="1:9" ht="16" customHeight="1" x14ac:dyDescent="0.2">
      <c r="A101" s="71" t="s">
        <v>56</v>
      </c>
      <c r="B101" s="234"/>
      <c r="C101" s="234"/>
      <c r="D101" s="234"/>
      <c r="E101" s="234"/>
      <c r="F101" s="234"/>
      <c r="G101" s="234"/>
      <c r="H101" s="234"/>
    </row>
    <row r="102" spans="1:9" s="278" customFormat="1" ht="16" customHeight="1" x14ac:dyDescent="0.2">
      <c r="A102" s="277"/>
    </row>
    <row r="103" spans="1:9" ht="16" customHeight="1" x14ac:dyDescent="0.2">
      <c r="A103" s="9" t="s">
        <v>64</v>
      </c>
      <c r="D103" s="57">
        <f>IFERROR(C79/(C76*1000),"n/m")</f>
        <v>4.3749999999999997E-2</v>
      </c>
    </row>
    <row r="104" spans="1:9" ht="16" customHeight="1" x14ac:dyDescent="0.2">
      <c r="A104" s="9" t="s">
        <v>65</v>
      </c>
      <c r="D104" s="155">
        <f>C91/12</f>
        <v>33.333333333333336</v>
      </c>
    </row>
    <row r="105" spans="1:9" ht="16" customHeight="1" x14ac:dyDescent="0.2"/>
    <row r="106" spans="1:9" ht="16" customHeight="1" x14ac:dyDescent="0.2">
      <c r="A106" s="26" t="s">
        <v>68</v>
      </c>
      <c r="B106" s="27"/>
      <c r="C106" s="27"/>
      <c r="D106" s="27"/>
      <c r="E106" s="27"/>
      <c r="F106" s="27"/>
      <c r="G106" s="27"/>
      <c r="H106" s="27"/>
      <c r="I106" s="27"/>
    </row>
    <row r="107" spans="1:9" ht="16" customHeight="1" x14ac:dyDescent="0.2">
      <c r="A107" s="189" t="s">
        <v>69</v>
      </c>
      <c r="B107" s="190" t="str">
        <f>B4</f>
        <v>2024E</v>
      </c>
      <c r="C107" s="190" t="str">
        <f>C4</f>
        <v>2025E</v>
      </c>
      <c r="D107" s="190" t="str">
        <f>D4</f>
        <v>2026E</v>
      </c>
    </row>
    <row r="108" spans="1:9" ht="16" customHeight="1" x14ac:dyDescent="0.2">
      <c r="A108" s="8" t="s">
        <v>70</v>
      </c>
      <c r="B108" s="184">
        <v>6</v>
      </c>
      <c r="C108" s="184">
        <v>20</v>
      </c>
      <c r="D108" s="185" t="s">
        <v>71</v>
      </c>
    </row>
    <row r="109" spans="1:9" ht="16" customHeight="1" x14ac:dyDescent="0.2">
      <c r="A109" s="9" t="s">
        <v>72</v>
      </c>
      <c r="B109" s="25">
        <v>2</v>
      </c>
      <c r="C109" s="138">
        <f>B108</f>
        <v>6</v>
      </c>
      <c r="D109" s="138">
        <f>C108</f>
        <v>20</v>
      </c>
    </row>
    <row r="110" spans="1:9" ht="16" customHeight="1" x14ac:dyDescent="0.2">
      <c r="A110" s="68" t="s">
        <v>73</v>
      </c>
      <c r="B110" s="186">
        <f>(B108+B109)/2</f>
        <v>4</v>
      </c>
      <c r="C110" s="186">
        <f>(C108+C109)/2</f>
        <v>13</v>
      </c>
    </row>
    <row r="111" spans="1:9" ht="16" customHeight="1" x14ac:dyDescent="0.2">
      <c r="A111" s="8" t="s">
        <v>74</v>
      </c>
      <c r="B111" s="187">
        <f>B12</f>
        <v>3.7</v>
      </c>
      <c r="C111" s="187">
        <f>C12</f>
        <v>13.1</v>
      </c>
      <c r="D111" s="187">
        <f>D12</f>
        <v>30</v>
      </c>
    </row>
    <row r="112" spans="1:9" ht="16" customHeight="1" x14ac:dyDescent="0.2">
      <c r="A112" s="191" t="s">
        <v>75</v>
      </c>
      <c r="B112" s="192">
        <f>B111-B110</f>
        <v>-0.29999999999999982</v>
      </c>
      <c r="C112" s="192">
        <f>C111-C110</f>
        <v>9.9999999999999645E-2</v>
      </c>
      <c r="D112" s="191"/>
    </row>
    <row r="113" spans="1:7" ht="16" customHeight="1" x14ac:dyDescent="0.2">
      <c r="A113" s="68" t="s">
        <v>76</v>
      </c>
      <c r="B113" s="242">
        <f>IFERROR(B112/B111,"n/m")</f>
        <v>-8.108108108108103E-2</v>
      </c>
      <c r="C113" s="242">
        <f>IFERROR(C112/C111,"n/m")</f>
        <v>7.6335877862595148E-3</v>
      </c>
      <c r="D113" s="233"/>
    </row>
    <row r="114" spans="1:7" ht="16" customHeight="1" x14ac:dyDescent="0.2">
      <c r="A114" s="68" t="s">
        <v>77</v>
      </c>
      <c r="B114" s="188">
        <f>IFERROR(B108/B111,"n/m")</f>
        <v>1.6216216216216215</v>
      </c>
      <c r="C114" s="188">
        <f>IFERROR(C108/C111,"n/m")</f>
        <v>1.5267175572519085</v>
      </c>
    </row>
    <row r="115" spans="1:7" ht="16" customHeight="1" x14ac:dyDescent="0.2"/>
    <row r="116" spans="1:7" ht="16" customHeight="1" x14ac:dyDescent="0.2">
      <c r="A116" s="26" t="s">
        <v>83</v>
      </c>
      <c r="B116" s="27"/>
      <c r="C116" s="27"/>
      <c r="D116" s="27"/>
      <c r="E116" s="27"/>
      <c r="F116" s="27"/>
      <c r="G116" s="27"/>
    </row>
    <row r="117" spans="1:7" ht="16" customHeight="1" x14ac:dyDescent="0.2">
      <c r="A117" s="9" t="s">
        <v>84</v>
      </c>
      <c r="B117" s="216">
        <f>$D$57</f>
        <v>665</v>
      </c>
      <c r="C117" s="216">
        <f>$D$57</f>
        <v>665</v>
      </c>
      <c r="D117" s="216">
        <f>$D$57</f>
        <v>665</v>
      </c>
      <c r="E117" s="216">
        <f>$D$57</f>
        <v>665</v>
      </c>
      <c r="F117" s="216">
        <f>$D$57</f>
        <v>665</v>
      </c>
      <c r="G117" s="216">
        <f>$D$57</f>
        <v>665</v>
      </c>
    </row>
    <row r="118" spans="1:7" ht="16" customHeight="1" x14ac:dyDescent="0.2">
      <c r="A118" s="9" t="s">
        <v>82</v>
      </c>
      <c r="B118" s="216">
        <f>$D$61</f>
        <v>140</v>
      </c>
      <c r="C118" s="216">
        <f>$D$61</f>
        <v>140</v>
      </c>
      <c r="D118" s="216">
        <f>$D$61</f>
        <v>140</v>
      </c>
      <c r="E118" s="216">
        <f>$D$61</f>
        <v>140</v>
      </c>
      <c r="F118" s="216">
        <f>$D$61</f>
        <v>140</v>
      </c>
      <c r="G118" s="216">
        <f>$D$61</f>
        <v>140</v>
      </c>
    </row>
    <row r="119" spans="1:7" ht="16" customHeight="1" x14ac:dyDescent="0.2">
      <c r="A119" s="9" t="s">
        <v>85</v>
      </c>
      <c r="B119" s="228">
        <f>IFERROR($D$61/$D$57,"n/m")</f>
        <v>0.21052631578947367</v>
      </c>
      <c r="C119" s="228">
        <f>IFERROR($D$61/$D$57,"n/m")</f>
        <v>0.21052631578947367</v>
      </c>
      <c r="D119" s="228">
        <f>IFERROR($D$61/$D$57,"n/m")</f>
        <v>0.21052631578947367</v>
      </c>
      <c r="E119" s="228">
        <f>IFERROR($D$61/$D$57,"n/m")</f>
        <v>0.21052631578947367</v>
      </c>
      <c r="F119" s="228">
        <f>IFERROR($D$61/$D$57,"n/m")</f>
        <v>0.21052631578947367</v>
      </c>
      <c r="G119" s="228">
        <f>IFERROR($D$61/$D$57,"n/m")</f>
        <v>0.21052631578947367</v>
      </c>
    </row>
    <row r="120" spans="1:7" ht="16" customHeight="1" x14ac:dyDescent="0.2">
      <c r="A120" s="9" t="s">
        <v>86</v>
      </c>
      <c r="B120" s="232">
        <f>$D$64</f>
        <v>-44</v>
      </c>
      <c r="C120" s="232">
        <f>$D$64</f>
        <v>-44</v>
      </c>
      <c r="D120" s="232">
        <f>$D$64</f>
        <v>-44</v>
      </c>
      <c r="E120" s="232">
        <f>$D$64</f>
        <v>-44</v>
      </c>
      <c r="F120" s="232">
        <f>$D$64</f>
        <v>-44</v>
      </c>
      <c r="G120" s="232">
        <f>$D$64</f>
        <v>-44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N85"/>
  <sheetViews>
    <sheetView showGridLines="0" zoomScale="105" zoomScaleNormal="10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19" sqref="A1:XFD1048576"/>
    </sheetView>
  </sheetViews>
  <sheetFormatPr baseColWidth="10" defaultRowHeight="14" outlineLevelCol="1" x14ac:dyDescent="0.2"/>
  <cols>
    <col min="1" max="1" width="38.33203125" style="9" customWidth="1"/>
    <col min="2" max="7" width="12.83203125" style="9" customWidth="1" outlineLevel="1"/>
    <col min="8" max="8" width="3" style="9" customWidth="1" outlineLevel="1"/>
    <col min="9" max="13" width="10.6640625" style="9" customWidth="1"/>
    <col min="14" max="14" width="10.83203125" style="9" customWidth="1"/>
    <col min="15" max="15" width="4.5" style="9" customWidth="1"/>
    <col min="16" max="16" width="8.5" style="9" customWidth="1"/>
    <col min="17" max="17" width="9.6640625" style="9" customWidth="1"/>
    <col min="18" max="18" width="8" style="9" customWidth="1"/>
    <col min="19" max="19" width="13.33203125" style="9" customWidth="1"/>
    <col min="20" max="22" width="10.83203125" style="9" customWidth="1"/>
    <col min="23" max="16384" width="10.83203125" style="9"/>
  </cols>
  <sheetData>
    <row r="1" spans="1:14" ht="19" customHeight="1" x14ac:dyDescent="0.2">
      <c r="A1" s="8" t="s">
        <v>245</v>
      </c>
      <c r="I1" s="8" t="s">
        <v>246</v>
      </c>
      <c r="M1" s="65">
        <v>6.7782</v>
      </c>
    </row>
    <row r="2" spans="1:14" x14ac:dyDescent="0.2">
      <c r="A2" s="10" t="s">
        <v>247</v>
      </c>
    </row>
    <row r="3" spans="1:14" x14ac:dyDescent="0.2">
      <c r="A3" s="10"/>
      <c r="B3" s="11" t="s">
        <v>248</v>
      </c>
      <c r="C3" s="66"/>
      <c r="D3" s="66"/>
      <c r="E3" s="66"/>
      <c r="F3" s="66"/>
      <c r="G3" s="66"/>
      <c r="I3" s="11" t="s">
        <v>249</v>
      </c>
      <c r="J3" s="66"/>
      <c r="K3" s="66"/>
      <c r="L3" s="66"/>
      <c r="M3" s="66"/>
    </row>
    <row r="4" spans="1:14" x14ac:dyDescent="0.2">
      <c r="B4" s="154" t="s">
        <v>250</v>
      </c>
      <c r="C4" s="154"/>
      <c r="D4" s="154"/>
      <c r="E4" s="154" t="s">
        <v>251</v>
      </c>
      <c r="F4" s="154"/>
      <c r="G4" s="154" t="s">
        <v>252</v>
      </c>
      <c r="I4" s="154" t="s">
        <v>250</v>
      </c>
      <c r="J4" s="154"/>
      <c r="K4" s="154"/>
      <c r="L4" s="154" t="s">
        <v>251</v>
      </c>
      <c r="M4" s="154"/>
    </row>
    <row r="5" spans="1:14" x14ac:dyDescent="0.2">
      <c r="B5" s="153">
        <v>2022</v>
      </c>
      <c r="C5" s="153">
        <v>2023</v>
      </c>
      <c r="D5" s="153">
        <v>2024</v>
      </c>
      <c r="E5" s="153">
        <v>2024</v>
      </c>
      <c r="F5" s="153">
        <v>2025</v>
      </c>
      <c r="G5" s="153">
        <v>2025</v>
      </c>
      <c r="I5" s="153">
        <v>2022</v>
      </c>
      <c r="J5" s="153">
        <v>2023</v>
      </c>
      <c r="K5" s="153">
        <v>2024</v>
      </c>
      <c r="L5" s="153">
        <v>2024</v>
      </c>
      <c r="M5" s="153">
        <v>2025</v>
      </c>
    </row>
    <row r="6" spans="1:14" ht="8" customHeight="1" x14ac:dyDescent="0.2">
      <c r="A6" s="276"/>
      <c r="C6" s="316"/>
      <c r="I6" s="470"/>
    </row>
    <row r="7" spans="1:14" x14ac:dyDescent="0.2">
      <c r="A7" s="317" t="s">
        <v>2</v>
      </c>
      <c r="B7" s="313"/>
      <c r="C7" s="314"/>
      <c r="D7" s="313"/>
      <c r="E7" s="313"/>
      <c r="F7" s="313"/>
      <c r="G7" s="313"/>
      <c r="H7" s="313"/>
      <c r="I7" s="313"/>
      <c r="J7" s="313"/>
      <c r="K7" s="313"/>
      <c r="L7" s="313"/>
      <c r="M7" s="313"/>
    </row>
    <row r="8" spans="1:14" ht="8" customHeight="1" x14ac:dyDescent="0.2">
      <c r="A8" s="276"/>
      <c r="C8" s="316"/>
      <c r="I8" s="470"/>
    </row>
    <row r="9" spans="1:14" ht="14" customHeight="1" x14ac:dyDescent="0.2">
      <c r="A9" s="35" t="s">
        <v>88</v>
      </c>
      <c r="B9" s="127">
        <v>57409</v>
      </c>
      <c r="C9" s="127">
        <v>124538</v>
      </c>
      <c r="D9" s="127">
        <v>312414</v>
      </c>
      <c r="E9" s="127">
        <v>44909</v>
      </c>
      <c r="F9" s="127">
        <v>190877</v>
      </c>
      <c r="G9" s="127"/>
      <c r="H9" s="128"/>
      <c r="I9" s="129">
        <f t="shared" ref="I9:M11" si="0">B9/$M$1</f>
        <v>8469.65271015904</v>
      </c>
      <c r="J9" s="129">
        <f t="shared" si="0"/>
        <v>18373.314449263817</v>
      </c>
      <c r="K9" s="129">
        <f t="shared" si="0"/>
        <v>46090.997609984952</v>
      </c>
      <c r="L9" s="129">
        <f t="shared" si="0"/>
        <v>6625.5052963913722</v>
      </c>
      <c r="M9" s="129">
        <f t="shared" si="0"/>
        <v>28160.426071818478</v>
      </c>
      <c r="N9" s="123"/>
    </row>
    <row r="10" spans="1:14" x14ac:dyDescent="0.2">
      <c r="A10" s="9" t="s">
        <v>21</v>
      </c>
      <c r="B10" s="122">
        <v>-26049</v>
      </c>
      <c r="C10" s="122">
        <v>-44056</v>
      </c>
      <c r="D10" s="122">
        <v>-136525</v>
      </c>
      <c r="E10" s="122">
        <v>-22950</v>
      </c>
      <c r="F10" s="122">
        <v>-95453</v>
      </c>
      <c r="G10" s="122"/>
      <c r="H10" s="123"/>
      <c r="I10" s="124">
        <f t="shared" si="0"/>
        <v>-3843.0556784987166</v>
      </c>
      <c r="J10" s="124">
        <f t="shared" si="0"/>
        <v>-6499.6606768758666</v>
      </c>
      <c r="K10" s="124">
        <f t="shared" si="0"/>
        <v>-20141.778053170459</v>
      </c>
      <c r="L10" s="124">
        <f t="shared" si="0"/>
        <v>-3385.8546516774363</v>
      </c>
      <c r="M10" s="124">
        <f t="shared" si="0"/>
        <v>-14082.352246909209</v>
      </c>
      <c r="N10" s="123"/>
    </row>
    <row r="11" spans="1:14" x14ac:dyDescent="0.2">
      <c r="A11" s="67" t="s">
        <v>22</v>
      </c>
      <c r="B11" s="133">
        <f>B9+B10</f>
        <v>31360</v>
      </c>
      <c r="C11" s="133">
        <f>C9+C10</f>
        <v>80482</v>
      </c>
      <c r="D11" s="133">
        <f>D9+D10</f>
        <v>175889</v>
      </c>
      <c r="E11" s="133">
        <f>E9+E10</f>
        <v>21959</v>
      </c>
      <c r="F11" s="133">
        <f>F9+F10</f>
        <v>95424</v>
      </c>
      <c r="G11" s="133"/>
      <c r="H11" s="128"/>
      <c r="I11" s="133">
        <f t="shared" si="0"/>
        <v>4626.5970316603225</v>
      </c>
      <c r="J11" s="133">
        <f t="shared" si="0"/>
        <v>11873.65377238795</v>
      </c>
      <c r="K11" s="133">
        <f t="shared" si="0"/>
        <v>25949.219556814493</v>
      </c>
      <c r="L11" s="133">
        <f t="shared" si="0"/>
        <v>3239.6506447139359</v>
      </c>
      <c r="M11" s="133">
        <f t="shared" si="0"/>
        <v>14078.073824909268</v>
      </c>
      <c r="N11" s="123"/>
    </row>
    <row r="12" spans="1:14" x14ac:dyDescent="0.2">
      <c r="A12" s="71" t="s">
        <v>23</v>
      </c>
      <c r="B12" s="234">
        <f>B11/B$9</f>
        <v>0.54625581354839836</v>
      </c>
      <c r="C12" s="234">
        <f>C11/C$9</f>
        <v>0.64624451974497743</v>
      </c>
      <c r="D12" s="234">
        <f>D11/D$9</f>
        <v>0.56299973752776766</v>
      </c>
      <c r="E12" s="234">
        <f>E11/E$9</f>
        <v>0.48896657685541872</v>
      </c>
      <c r="F12" s="234">
        <f>F11/F$9</f>
        <v>0.49992403484966758</v>
      </c>
      <c r="G12" s="234"/>
      <c r="H12" s="234"/>
      <c r="I12" s="234">
        <f>I11/I9</f>
        <v>0.54625581354839825</v>
      </c>
      <c r="J12" s="234">
        <f>J11/J9</f>
        <v>0.64624451974497743</v>
      </c>
      <c r="K12" s="234">
        <f>K11/K9</f>
        <v>0.56299973752776766</v>
      </c>
      <c r="L12" s="234">
        <f>L11/L9</f>
        <v>0.48896657685541878</v>
      </c>
      <c r="M12" s="234">
        <f>M11/M9</f>
        <v>0.49992403484966758</v>
      </c>
    </row>
    <row r="13" spans="1:14" ht="5" customHeight="1" x14ac:dyDescent="0.2">
      <c r="A13" s="8"/>
      <c r="B13" s="126"/>
      <c r="C13" s="126"/>
      <c r="D13" s="126"/>
      <c r="E13" s="126"/>
      <c r="F13" s="126"/>
      <c r="G13" s="126"/>
      <c r="H13" s="125"/>
      <c r="I13" s="126"/>
      <c r="J13" s="126"/>
      <c r="K13" s="126"/>
      <c r="L13" s="126"/>
      <c r="M13" s="126"/>
      <c r="N13" s="123"/>
    </row>
    <row r="14" spans="1:14" x14ac:dyDescent="0.2">
      <c r="A14" s="9" t="s">
        <v>25</v>
      </c>
      <c r="B14" s="122">
        <v>-84377</v>
      </c>
      <c r="C14" s="122">
        <v>-528884</v>
      </c>
      <c r="D14" s="122">
        <v>-2195436</v>
      </c>
      <c r="E14" s="122">
        <v>-859217</v>
      </c>
      <c r="F14" s="122">
        <v>-1594661</v>
      </c>
      <c r="G14" s="122"/>
      <c r="H14" s="123"/>
      <c r="I14" s="124">
        <f t="shared" ref="I14:M19" si="1">B14/$M$1</f>
        <v>-12448.290106517954</v>
      </c>
      <c r="J14" s="124">
        <f t="shared" si="1"/>
        <v>-78027.204862647894</v>
      </c>
      <c r="K14" s="124">
        <f t="shared" si="1"/>
        <v>-323896.60971939453</v>
      </c>
      <c r="L14" s="124">
        <f t="shared" si="1"/>
        <v>-126761.82467321708</v>
      </c>
      <c r="M14" s="124">
        <f t="shared" si="1"/>
        <v>-235263.19671889293</v>
      </c>
      <c r="N14" s="123"/>
    </row>
    <row r="15" spans="1:14" x14ac:dyDescent="0.2">
      <c r="A15" s="9" t="s">
        <v>26</v>
      </c>
      <c r="B15" s="122">
        <v>-15139</v>
      </c>
      <c r="C15" s="122">
        <v>-101198</v>
      </c>
      <c r="D15" s="122">
        <v>-387475</v>
      </c>
      <c r="E15" s="122">
        <v>-144194</v>
      </c>
      <c r="F15" s="122">
        <v>-208570</v>
      </c>
      <c r="G15" s="122"/>
      <c r="H15" s="123"/>
      <c r="I15" s="124">
        <f t="shared" si="1"/>
        <v>-2233.4838157622967</v>
      </c>
      <c r="J15" s="124">
        <f t="shared" si="1"/>
        <v>-14929.922398276829</v>
      </c>
      <c r="K15" s="124">
        <f t="shared" si="1"/>
        <v>-57164.881531970139</v>
      </c>
      <c r="L15" s="124">
        <f t="shared" si="1"/>
        <v>-21273.199374465195</v>
      </c>
      <c r="M15" s="124">
        <f t="shared" si="1"/>
        <v>-30770.706087161783</v>
      </c>
      <c r="N15" s="123"/>
    </row>
    <row r="16" spans="1:14" x14ac:dyDescent="0.2">
      <c r="A16" s="9" t="s">
        <v>27</v>
      </c>
      <c r="B16" s="122">
        <v>-32316</v>
      </c>
      <c r="C16" s="122">
        <v>-66302</v>
      </c>
      <c r="D16" s="122">
        <v>-133603</v>
      </c>
      <c r="E16" s="122">
        <v>-51452</v>
      </c>
      <c r="F16" s="122">
        <v>-185165</v>
      </c>
      <c r="G16" s="122"/>
      <c r="H16" s="123"/>
      <c r="I16" s="124">
        <f t="shared" si="1"/>
        <v>-4767.6374258652741</v>
      </c>
      <c r="J16" s="124">
        <f t="shared" si="1"/>
        <v>-9781.6529462099079</v>
      </c>
      <c r="K16" s="124">
        <f t="shared" si="1"/>
        <v>-19710.69015372813</v>
      </c>
      <c r="L16" s="124">
        <f t="shared" si="1"/>
        <v>-7590.8058186539201</v>
      </c>
      <c r="M16" s="124">
        <f t="shared" si="1"/>
        <v>-27317.724469623205</v>
      </c>
      <c r="N16" s="123"/>
    </row>
    <row r="17" spans="1:14" x14ac:dyDescent="0.2">
      <c r="A17" s="9" t="s">
        <v>253</v>
      </c>
      <c r="B17" s="122">
        <v>-31</v>
      </c>
      <c r="C17" s="122">
        <v>-19786</v>
      </c>
      <c r="D17" s="122">
        <v>-17008</v>
      </c>
      <c r="E17" s="122">
        <v>-763</v>
      </c>
      <c r="F17" s="122">
        <v>-10867</v>
      </c>
      <c r="G17" s="122"/>
      <c r="H17" s="123"/>
      <c r="I17" s="124">
        <f t="shared" si="1"/>
        <v>-4.5734855861438142</v>
      </c>
      <c r="J17" s="124">
        <f t="shared" si="1"/>
        <v>-2919.0640583045647</v>
      </c>
      <c r="K17" s="124">
        <f t="shared" si="1"/>
        <v>-2509.2207370688384</v>
      </c>
      <c r="L17" s="124">
        <f t="shared" si="1"/>
        <v>-112.56675813637838</v>
      </c>
      <c r="M17" s="124">
        <f t="shared" si="1"/>
        <v>-1603.227995633059</v>
      </c>
      <c r="N17" s="123"/>
    </row>
    <row r="18" spans="1:14" x14ac:dyDescent="0.2">
      <c r="A18" s="9" t="s">
        <v>254</v>
      </c>
      <c r="B18" s="122">
        <v>1784</v>
      </c>
      <c r="C18" s="122">
        <v>9965</v>
      </c>
      <c r="D18" s="122">
        <v>19281</v>
      </c>
      <c r="E18" s="122">
        <v>4174</v>
      </c>
      <c r="F18" s="122">
        <v>4614</v>
      </c>
      <c r="G18" s="122"/>
      <c r="H18" s="123"/>
      <c r="I18" s="124">
        <f t="shared" si="1"/>
        <v>263.19671889292141</v>
      </c>
      <c r="J18" s="124">
        <f t="shared" si="1"/>
        <v>1470.154318255584</v>
      </c>
      <c r="K18" s="124">
        <f t="shared" si="1"/>
        <v>2844.5605027883507</v>
      </c>
      <c r="L18" s="124">
        <f t="shared" si="1"/>
        <v>615.79770440529933</v>
      </c>
      <c r="M18" s="124">
        <f t="shared" si="1"/>
        <v>680.71169336992125</v>
      </c>
      <c r="N18" s="123"/>
    </row>
    <row r="19" spans="1:14" x14ac:dyDescent="0.2">
      <c r="A19" s="24" t="s">
        <v>35</v>
      </c>
      <c r="B19" s="130">
        <f>SUM(B11,B14:B18)</f>
        <v>-98719</v>
      </c>
      <c r="C19" s="130">
        <f>SUM(C11,C14:C18)</f>
        <v>-625723</v>
      </c>
      <c r="D19" s="130">
        <f>SUM(D11,D14:D18)</f>
        <v>-2538352</v>
      </c>
      <c r="E19" s="130">
        <f>SUM(E11,E14:E18)</f>
        <v>-1029493</v>
      </c>
      <c r="F19" s="130">
        <f>SUM(F11,F14:F18)</f>
        <v>-1899225</v>
      </c>
      <c r="G19" s="132"/>
      <c r="H19" s="131"/>
      <c r="I19" s="130">
        <f t="shared" si="1"/>
        <v>-14564.191083178424</v>
      </c>
      <c r="J19" s="130">
        <f t="shared" si="1"/>
        <v>-92314.036174795663</v>
      </c>
      <c r="K19" s="130">
        <f t="shared" si="1"/>
        <v>-374487.62208255881</v>
      </c>
      <c r="L19" s="130">
        <f t="shared" si="1"/>
        <v>-151882.94827535335</v>
      </c>
      <c r="M19" s="130">
        <f t="shared" si="1"/>
        <v>-280196.06975303177</v>
      </c>
      <c r="N19" s="123"/>
    </row>
    <row r="20" spans="1:14" x14ac:dyDescent="0.2">
      <c r="A20" s="71" t="s">
        <v>23</v>
      </c>
      <c r="B20" s="234">
        <f>B19/B$9</f>
        <v>-1.7195735860230974</v>
      </c>
      <c r="C20" s="234">
        <f>C19/C$9</f>
        <v>-5.0243540124299413</v>
      </c>
      <c r="D20" s="234">
        <f>D19/D$9</f>
        <v>-8.1249623896496317</v>
      </c>
      <c r="E20" s="234">
        <f>E19/E$9</f>
        <v>-22.923979603197576</v>
      </c>
      <c r="F20" s="234">
        <f>F19/F$9</f>
        <v>-9.9499939751777315</v>
      </c>
      <c r="G20" s="234"/>
      <c r="H20" s="234"/>
      <c r="I20" s="234">
        <f>I19/I$9</f>
        <v>-1.7195735860230972</v>
      </c>
      <c r="J20" s="234">
        <f>J19/J$9</f>
        <v>-5.0243540124299404</v>
      </c>
      <c r="K20" s="234">
        <f>K19/K$9</f>
        <v>-8.1249623896496317</v>
      </c>
      <c r="L20" s="234">
        <f>L19/L$9</f>
        <v>-22.92397960319758</v>
      </c>
      <c r="M20" s="234">
        <f>M19/M$9</f>
        <v>-9.9499939751777315</v>
      </c>
    </row>
    <row r="21" spans="1:14" ht="5" customHeight="1" x14ac:dyDescent="0.2">
      <c r="A21" s="8"/>
      <c r="B21" s="132"/>
      <c r="C21" s="132"/>
      <c r="D21" s="132"/>
      <c r="E21" s="132"/>
      <c r="F21" s="132"/>
      <c r="G21" s="132"/>
      <c r="H21" s="131"/>
      <c r="I21" s="132"/>
      <c r="J21" s="132"/>
      <c r="K21" s="132"/>
      <c r="L21" s="132"/>
      <c r="M21" s="132"/>
      <c r="N21" s="123"/>
    </row>
    <row r="22" spans="1:14" x14ac:dyDescent="0.2">
      <c r="A22" s="9" t="s">
        <v>255</v>
      </c>
      <c r="B22" s="122">
        <v>-5694</v>
      </c>
      <c r="C22" s="122">
        <v>-26332</v>
      </c>
      <c r="D22" s="122">
        <v>-38321</v>
      </c>
      <c r="E22" s="122">
        <v>-12212</v>
      </c>
      <c r="F22" s="122">
        <v>-53270</v>
      </c>
      <c r="G22" s="122"/>
      <c r="H22" s="123"/>
      <c r="I22" s="124">
        <f t="shared" ref="I22:M28" si="2">B22/$M$1</f>
        <v>-840.04602991944762</v>
      </c>
      <c r="J22" s="124">
        <f t="shared" si="2"/>
        <v>-3884.8071759464165</v>
      </c>
      <c r="K22" s="124">
        <f t="shared" si="2"/>
        <v>-5653.5658434392608</v>
      </c>
      <c r="L22" s="124">
        <f t="shared" si="2"/>
        <v>-1801.6582573544599</v>
      </c>
      <c r="M22" s="124">
        <f t="shared" si="2"/>
        <v>-7859.0186185122893</v>
      </c>
      <c r="N22" s="123"/>
    </row>
    <row r="23" spans="1:14" x14ac:dyDescent="0.2">
      <c r="A23" s="9" t="s">
        <v>256</v>
      </c>
      <c r="B23" s="122">
        <v>0</v>
      </c>
      <c r="C23" s="122">
        <v>-453</v>
      </c>
      <c r="D23" s="122">
        <v>21254</v>
      </c>
      <c r="E23" s="122">
        <v>324</v>
      </c>
      <c r="F23" s="122">
        <v>14147</v>
      </c>
      <c r="G23" s="122"/>
      <c r="H23" s="123"/>
      <c r="I23" s="124">
        <f t="shared" si="2"/>
        <v>0</v>
      </c>
      <c r="J23" s="124">
        <f t="shared" si="2"/>
        <v>-66.831902274940248</v>
      </c>
      <c r="K23" s="124">
        <f t="shared" si="2"/>
        <v>3135.6407305774396</v>
      </c>
      <c r="L23" s="124">
        <f t="shared" si="2"/>
        <v>47.800300964857925</v>
      </c>
      <c r="M23" s="124">
        <f t="shared" si="2"/>
        <v>2087.1322770056945</v>
      </c>
      <c r="N23" s="123"/>
    </row>
    <row r="24" spans="1:14" x14ac:dyDescent="0.2">
      <c r="A24" s="9" t="s">
        <v>257</v>
      </c>
      <c r="B24" s="122">
        <v>5972</v>
      </c>
      <c r="C24" s="122">
        <v>26022</v>
      </c>
      <c r="D24" s="122">
        <v>66271</v>
      </c>
      <c r="E24" s="122">
        <v>7004</v>
      </c>
      <c r="F24" s="122">
        <v>9791</v>
      </c>
      <c r="G24" s="122"/>
      <c r="H24" s="123"/>
      <c r="I24" s="124">
        <f t="shared" si="2"/>
        <v>881.05986840164053</v>
      </c>
      <c r="J24" s="124">
        <f t="shared" si="2"/>
        <v>3839.0723200849784</v>
      </c>
      <c r="K24" s="124">
        <f t="shared" si="2"/>
        <v>9777.079460623765</v>
      </c>
      <c r="L24" s="124">
        <f t="shared" si="2"/>
        <v>1033.3126788822992</v>
      </c>
      <c r="M24" s="124">
        <f t="shared" si="2"/>
        <v>1444.4837862559382</v>
      </c>
      <c r="N24" s="123"/>
    </row>
    <row r="25" spans="1:14" x14ac:dyDescent="0.2">
      <c r="A25" s="9" t="s">
        <v>258</v>
      </c>
      <c r="B25" s="122">
        <v>-45209</v>
      </c>
      <c r="C25" s="122">
        <v>-161471</v>
      </c>
      <c r="D25" s="122">
        <v>-468859</v>
      </c>
      <c r="E25" s="122">
        <v>-201174</v>
      </c>
      <c r="F25" s="122">
        <v>-429295</v>
      </c>
      <c r="G25" s="122"/>
      <c r="H25" s="123"/>
      <c r="I25" s="124">
        <f t="shared" si="2"/>
        <v>-6669.7648343217961</v>
      </c>
      <c r="J25" s="124">
        <f t="shared" si="2"/>
        <v>-23822.106163878314</v>
      </c>
      <c r="K25" s="124">
        <f t="shared" si="2"/>
        <v>-69171.608981735568</v>
      </c>
      <c r="L25" s="124">
        <f t="shared" si="2"/>
        <v>-29679.560945383731</v>
      </c>
      <c r="M25" s="124">
        <f t="shared" si="2"/>
        <v>-63334.661119471246</v>
      </c>
      <c r="N25" s="123"/>
    </row>
    <row r="26" spans="1:14" x14ac:dyDescent="0.2">
      <c r="A26" s="67" t="s">
        <v>259</v>
      </c>
      <c r="B26" s="133">
        <f>B19+SUM(B22:B25)</f>
        <v>-143650</v>
      </c>
      <c r="C26" s="133">
        <f>C19+SUM(C22:C25)</f>
        <v>-787957</v>
      </c>
      <c r="D26" s="133">
        <f>D19+SUM(D22:D25)</f>
        <v>-2958007</v>
      </c>
      <c r="E26" s="133">
        <f>E19+SUM(E22:E25)</f>
        <v>-1235551</v>
      </c>
      <c r="F26" s="133">
        <f>F19+SUM(F22:F25)</f>
        <v>-2357852</v>
      </c>
      <c r="G26" s="133"/>
      <c r="H26" s="128"/>
      <c r="I26" s="133">
        <f t="shared" si="2"/>
        <v>-21192.942079018027</v>
      </c>
      <c r="J26" s="133">
        <f t="shared" si="2"/>
        <v>-116248.70909681036</v>
      </c>
      <c r="K26" s="133">
        <f t="shared" si="2"/>
        <v>-436400.07671653241</v>
      </c>
      <c r="L26" s="133">
        <f t="shared" si="2"/>
        <v>-182283.05449824437</v>
      </c>
      <c r="M26" s="133">
        <f t="shared" si="2"/>
        <v>-347858.1334277537</v>
      </c>
      <c r="N26" s="123"/>
    </row>
    <row r="27" spans="1:14" x14ac:dyDescent="0.2">
      <c r="A27" s="152" t="s">
        <v>260</v>
      </c>
      <c r="B27" s="122">
        <v>-143374</v>
      </c>
      <c r="C27" s="122">
        <v>-787960</v>
      </c>
      <c r="D27" s="122">
        <v>-2956491</v>
      </c>
      <c r="E27" s="122">
        <v>-1235551</v>
      </c>
      <c r="F27" s="122">
        <v>-2351173</v>
      </c>
      <c r="G27" s="122"/>
      <c r="H27" s="123"/>
      <c r="I27" s="124">
        <f t="shared" si="2"/>
        <v>-21152.223304122039</v>
      </c>
      <c r="J27" s="124">
        <f t="shared" si="2"/>
        <v>-116249.15169218967</v>
      </c>
      <c r="K27" s="124">
        <f t="shared" si="2"/>
        <v>-436176.41851819068</v>
      </c>
      <c r="L27" s="124">
        <f t="shared" si="2"/>
        <v>-182283.05449824437</v>
      </c>
      <c r="M27" s="124">
        <f t="shared" si="2"/>
        <v>-346872.76858162932</v>
      </c>
      <c r="N27" s="123"/>
    </row>
    <row r="28" spans="1:14" x14ac:dyDescent="0.2">
      <c r="A28" s="152" t="s">
        <v>261</v>
      </c>
      <c r="B28" s="122">
        <v>-276</v>
      </c>
      <c r="C28" s="122">
        <v>3</v>
      </c>
      <c r="D28" s="122">
        <v>-1516</v>
      </c>
      <c r="E28" s="122">
        <v>0</v>
      </c>
      <c r="F28" s="122">
        <v>-6679</v>
      </c>
      <c r="G28" s="122"/>
      <c r="H28" s="123"/>
      <c r="I28" s="124">
        <f t="shared" si="2"/>
        <v>-40.718774895990087</v>
      </c>
      <c r="J28" s="124">
        <f t="shared" si="2"/>
        <v>0.44259537930424009</v>
      </c>
      <c r="K28" s="124">
        <f t="shared" si="2"/>
        <v>-223.65819834174263</v>
      </c>
      <c r="L28" s="124">
        <f t="shared" si="2"/>
        <v>0</v>
      </c>
      <c r="M28" s="124">
        <f t="shared" si="2"/>
        <v>-985.36484612433981</v>
      </c>
      <c r="N28" s="123"/>
    </row>
    <row r="30" spans="1:14" x14ac:dyDescent="0.2">
      <c r="A30" s="317" t="s">
        <v>673</v>
      </c>
      <c r="B30" s="313"/>
      <c r="C30" s="314"/>
      <c r="D30" s="313"/>
      <c r="E30" s="313"/>
      <c r="F30" s="313"/>
      <c r="G30" s="313"/>
      <c r="H30" s="313"/>
      <c r="I30" s="313"/>
      <c r="J30" s="313"/>
      <c r="K30" s="313"/>
      <c r="L30" s="313"/>
      <c r="M30" s="313"/>
    </row>
    <row r="31" spans="1:14" x14ac:dyDescent="0.2">
      <c r="A31" s="231"/>
      <c r="B31" s="124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</row>
    <row r="32" spans="1:14" x14ac:dyDescent="0.15">
      <c r="A32" s="208" t="s">
        <v>262</v>
      </c>
      <c r="B32" s="257"/>
      <c r="C32" s="257"/>
      <c r="D32" s="258">
        <f>-D14</f>
        <v>2195436</v>
      </c>
      <c r="E32" s="259"/>
      <c r="F32" s="259">
        <f>-F14</f>
        <v>1594661</v>
      </c>
      <c r="G32" s="259">
        <f>F32*2</f>
        <v>3189322</v>
      </c>
      <c r="H32" s="32"/>
      <c r="I32" s="32"/>
      <c r="J32" s="32"/>
      <c r="K32" s="32"/>
      <c r="L32" s="32"/>
      <c r="M32" s="32"/>
    </row>
    <row r="33" spans="1:13" x14ac:dyDescent="0.15">
      <c r="A33" s="32" t="s">
        <v>263</v>
      </c>
      <c r="B33" s="120"/>
      <c r="C33" s="120"/>
      <c r="D33" s="255">
        <v>1550000</v>
      </c>
      <c r="E33" s="124"/>
      <c r="F33" s="122">
        <v>1150000</v>
      </c>
      <c r="G33" s="124">
        <f>F33*2</f>
        <v>2300000</v>
      </c>
      <c r="H33" s="32"/>
      <c r="I33" s="32"/>
      <c r="J33" s="32"/>
      <c r="K33" s="32"/>
      <c r="L33" s="32"/>
      <c r="M33" s="32"/>
    </row>
    <row r="34" spans="1:13" x14ac:dyDescent="0.15">
      <c r="A34" s="32" t="s">
        <v>264</v>
      </c>
      <c r="B34" s="120"/>
      <c r="C34" s="120"/>
      <c r="D34" s="255">
        <v>324000</v>
      </c>
      <c r="E34" s="124"/>
      <c r="F34" s="122">
        <v>266000</v>
      </c>
      <c r="G34" s="124">
        <f>F34*2</f>
        <v>532000</v>
      </c>
      <c r="H34" s="32"/>
      <c r="I34" s="32"/>
      <c r="J34" s="32"/>
      <c r="K34" s="32"/>
      <c r="L34" s="32"/>
      <c r="M34" s="32"/>
    </row>
    <row r="35" spans="1:13" x14ac:dyDescent="0.15">
      <c r="A35" s="32" t="s">
        <v>265</v>
      </c>
      <c r="B35" s="120"/>
      <c r="C35" s="120"/>
      <c r="D35" s="255">
        <v>259000</v>
      </c>
      <c r="E35" s="124"/>
      <c r="F35" s="122">
        <v>124000</v>
      </c>
      <c r="G35" s="124">
        <f>F35*2</f>
        <v>248000</v>
      </c>
      <c r="H35" s="32"/>
      <c r="I35" s="32"/>
      <c r="J35" s="32"/>
      <c r="K35" s="32"/>
      <c r="L35" s="32"/>
      <c r="M35" s="32"/>
    </row>
    <row r="36" spans="1:13" x14ac:dyDescent="0.15">
      <c r="A36" s="32" t="s">
        <v>266</v>
      </c>
      <c r="B36" s="120"/>
      <c r="C36" s="120"/>
      <c r="D36" s="251">
        <f>D32-SUM(D33:D35)</f>
        <v>62436</v>
      </c>
      <c r="E36" s="124"/>
      <c r="F36" s="124">
        <f>F32-SUM(F33:F35)</f>
        <v>54661</v>
      </c>
      <c r="G36" s="124">
        <f>G32-SUM(G33:G35)</f>
        <v>109322</v>
      </c>
      <c r="H36" s="32"/>
      <c r="I36" s="32"/>
      <c r="J36" s="32"/>
      <c r="K36" s="32"/>
      <c r="L36" s="32"/>
      <c r="M36" s="32"/>
    </row>
    <row r="37" spans="1:13" x14ac:dyDescent="0.15">
      <c r="A37" s="32" t="s">
        <v>267</v>
      </c>
      <c r="B37" s="120"/>
      <c r="C37" s="120"/>
      <c r="D37" s="120"/>
      <c r="E37" s="32"/>
      <c r="F37" s="32"/>
      <c r="G37" s="32"/>
      <c r="H37" s="32"/>
      <c r="I37" s="32"/>
      <c r="J37" s="32"/>
      <c r="K37" s="32"/>
      <c r="L37" s="32"/>
      <c r="M37" s="32"/>
    </row>
    <row r="38" spans="1:13" x14ac:dyDescent="0.15">
      <c r="A38" s="32" t="s">
        <v>268</v>
      </c>
      <c r="B38" s="120"/>
      <c r="C38" s="120"/>
      <c r="D38" s="252">
        <f>D33/D32</f>
        <v>0.70601010459881319</v>
      </c>
      <c r="E38" s="253"/>
      <c r="F38" s="253">
        <f>F33/F32</f>
        <v>0.72115640879158638</v>
      </c>
      <c r="G38" s="253">
        <f>G33/G32</f>
        <v>0.72115640879158638</v>
      </c>
      <c r="H38" s="32"/>
      <c r="I38" s="32"/>
      <c r="J38" s="32"/>
      <c r="K38" s="32"/>
      <c r="L38" s="32"/>
      <c r="M38" s="32"/>
    </row>
    <row r="39" spans="1:13" x14ac:dyDescent="0.15">
      <c r="A39" s="32" t="s">
        <v>269</v>
      </c>
      <c r="B39" s="120"/>
      <c r="C39" s="120"/>
      <c r="D39" s="252">
        <f>D34/D32</f>
        <v>0.14757888638065514</v>
      </c>
      <c r="E39" s="253"/>
      <c r="F39" s="253">
        <f>F34/F32</f>
        <v>0.16680661281614087</v>
      </c>
      <c r="G39" s="253">
        <f>G34/G32</f>
        <v>0.16680661281614087</v>
      </c>
      <c r="H39" s="32"/>
      <c r="I39" s="32"/>
      <c r="J39" s="32"/>
      <c r="K39" s="32"/>
      <c r="L39" s="32"/>
      <c r="M39" s="32"/>
    </row>
    <row r="40" spans="1:13" x14ac:dyDescent="0.15">
      <c r="A40" s="32" t="s">
        <v>270</v>
      </c>
      <c r="B40" s="120"/>
      <c r="C40" s="120"/>
      <c r="D40" s="252">
        <f>D35/D32</f>
        <v>0.11797201102651136</v>
      </c>
      <c r="E40" s="253"/>
      <c r="F40" s="253">
        <f>F35/F32</f>
        <v>7.7759473643614532E-2</v>
      </c>
      <c r="G40" s="253">
        <f>G35/G32</f>
        <v>7.7759473643614532E-2</v>
      </c>
      <c r="H40" s="32"/>
      <c r="I40" s="32"/>
      <c r="J40" s="32"/>
      <c r="K40" s="32"/>
      <c r="L40" s="32"/>
      <c r="M40" s="32"/>
    </row>
    <row r="41" spans="1:13" x14ac:dyDescent="0.15">
      <c r="A41" s="32" t="s">
        <v>271</v>
      </c>
      <c r="B41" s="120"/>
      <c r="C41" s="120"/>
      <c r="D41" s="252">
        <f>D36/D32</f>
        <v>2.8438997994020321E-2</v>
      </c>
      <c r="E41" s="253"/>
      <c r="F41" s="253">
        <f>F36/F32</f>
        <v>3.4277504748658177E-2</v>
      </c>
      <c r="G41" s="253">
        <f>G36/G32</f>
        <v>3.4277504748658177E-2</v>
      </c>
      <c r="H41" s="32"/>
      <c r="I41" s="32"/>
      <c r="J41" s="32"/>
      <c r="K41" s="32"/>
      <c r="L41" s="32"/>
      <c r="M41" s="32"/>
    </row>
    <row r="42" spans="1:13" x14ac:dyDescent="0.2">
      <c r="A42" s="231" t="s">
        <v>272</v>
      </c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</row>
    <row r="43" spans="1:13" x14ac:dyDescent="0.2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</row>
    <row r="44" spans="1:13" x14ac:dyDescent="0.2">
      <c r="A44" s="317" t="s">
        <v>675</v>
      </c>
      <c r="B44" s="313"/>
      <c r="C44" s="314"/>
      <c r="D44" s="313"/>
      <c r="E44" s="313"/>
      <c r="F44" s="313"/>
      <c r="G44" s="313"/>
      <c r="H44" s="313"/>
      <c r="I44" s="313"/>
      <c r="J44" s="313"/>
      <c r="K44" s="313"/>
      <c r="L44" s="313"/>
      <c r="M44" s="313"/>
    </row>
    <row r="45" spans="1:13" x14ac:dyDescent="0.2">
      <c r="A45" s="32" t="s">
        <v>274</v>
      </c>
      <c r="B45" s="254">
        <f>K9/1000000</f>
        <v>4.6090997609984953E-2</v>
      </c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</row>
    <row r="46" spans="1:13" x14ac:dyDescent="0.2">
      <c r="A46" s="32" t="s">
        <v>275</v>
      </c>
      <c r="B46" s="256">
        <f>125958/1000/$M$1</f>
        <v>18.582809595467822</v>
      </c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</row>
    <row r="47" spans="1:13" x14ac:dyDescent="0.2">
      <c r="A47" s="32" t="s">
        <v>276</v>
      </c>
      <c r="B47" s="391">
        <f>D53/1000/$M$1</f>
        <v>41.29960756543035</v>
      </c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</row>
    <row r="48" spans="1:13" x14ac:dyDescent="0.2">
      <c r="A48" s="12" t="s">
        <v>277</v>
      </c>
      <c r="B48" s="264">
        <f>IF(AND(ISNUMBER(B46),ISNUMBER(B45)),(B46/1000)/B45,"n/m")</f>
        <v>0.40317655418771242</v>
      </c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</row>
    <row r="49" spans="1:13" x14ac:dyDescent="0.2">
      <c r="A49" s="12"/>
      <c r="B49" s="264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</row>
    <row r="50" spans="1:13" x14ac:dyDescent="0.15">
      <c r="A50" s="26" t="s">
        <v>674</v>
      </c>
      <c r="B50" s="5"/>
      <c r="C50" s="5"/>
      <c r="D50" s="5"/>
      <c r="E50" s="5"/>
      <c r="F50" s="5"/>
      <c r="G50" s="5"/>
      <c r="H50" s="32"/>
      <c r="I50" s="32"/>
      <c r="J50" s="32"/>
      <c r="K50" s="32"/>
      <c r="L50" s="32"/>
      <c r="M50" s="32"/>
    </row>
    <row r="51" spans="1:13" x14ac:dyDescent="0.15">
      <c r="A51" s="257" t="s">
        <v>88</v>
      </c>
      <c r="B51" s="260">
        <v>57409</v>
      </c>
      <c r="C51" s="260">
        <v>124538</v>
      </c>
      <c r="D51" s="260">
        <v>312414</v>
      </c>
      <c r="E51" s="260">
        <v>44909</v>
      </c>
      <c r="F51" s="260">
        <v>190877</v>
      </c>
      <c r="G51" s="471"/>
      <c r="H51" s="120"/>
      <c r="I51" s="32"/>
      <c r="J51" s="32"/>
      <c r="K51" s="32"/>
      <c r="L51" s="32"/>
      <c r="M51" s="32"/>
    </row>
    <row r="52" spans="1:13" x14ac:dyDescent="0.15">
      <c r="A52" s="120" t="s">
        <v>280</v>
      </c>
      <c r="B52" s="255">
        <v>-98719</v>
      </c>
      <c r="C52" s="255">
        <v>-625723</v>
      </c>
      <c r="D52" s="255">
        <v>-2538352</v>
      </c>
      <c r="E52" s="255">
        <v>-1029493</v>
      </c>
      <c r="F52" s="255">
        <v>-1899225</v>
      </c>
      <c r="G52" s="471"/>
      <c r="H52" s="120"/>
      <c r="I52" s="32"/>
      <c r="J52" s="32"/>
      <c r="K52" s="32"/>
      <c r="L52" s="32"/>
      <c r="M52" s="32"/>
    </row>
    <row r="53" spans="1:13" x14ac:dyDescent="0.15">
      <c r="A53" s="120" t="s">
        <v>281</v>
      </c>
      <c r="B53" s="255">
        <v>20018</v>
      </c>
      <c r="C53" s="255">
        <v>68931</v>
      </c>
      <c r="D53" s="255">
        <v>279937</v>
      </c>
      <c r="E53" s="255">
        <v>135615</v>
      </c>
      <c r="F53" s="255">
        <v>139036</v>
      </c>
      <c r="G53" s="471"/>
      <c r="H53" s="120"/>
      <c r="I53" s="32"/>
      <c r="J53" s="32"/>
      <c r="K53" s="32"/>
      <c r="L53" s="32"/>
      <c r="M53" s="32"/>
    </row>
    <row r="54" spans="1:13" x14ac:dyDescent="0.15">
      <c r="A54" s="120" t="s">
        <v>282</v>
      </c>
      <c r="B54" s="252">
        <f>IF(B51=0,"n.m.",B53/B51)</f>
        <v>0.34869097179884689</v>
      </c>
      <c r="C54" s="252">
        <f>IF(C51=0,"n.m.",C53/C51)</f>
        <v>0.55349371276236969</v>
      </c>
      <c r="D54" s="252">
        <f>IF(D51=0,"n.m.",D53/D51)</f>
        <v>0.89604499158168327</v>
      </c>
      <c r="E54" s="252">
        <f>IF(E51=0,"n.m.",E53/E51)</f>
        <v>3.0197733193791891</v>
      </c>
      <c r="F54" s="252">
        <f>IF(F51=0,"n.m.",F53/F51)</f>
        <v>0.72840625114602597</v>
      </c>
      <c r="G54" s="471"/>
      <c r="H54" s="120"/>
      <c r="I54" s="32"/>
      <c r="J54" s="32"/>
      <c r="K54" s="32"/>
      <c r="L54" s="32"/>
      <c r="M54" s="32"/>
    </row>
    <row r="55" spans="1:13" x14ac:dyDescent="0.15">
      <c r="A55" s="257" t="s">
        <v>283</v>
      </c>
      <c r="B55" s="261">
        <v>-68246</v>
      </c>
      <c r="C55" s="261">
        <v>-648017</v>
      </c>
      <c r="D55" s="261">
        <v>-2244919</v>
      </c>
      <c r="E55" s="261">
        <v>-994678</v>
      </c>
      <c r="F55" s="261">
        <v>-1327150</v>
      </c>
      <c r="G55" s="471"/>
      <c r="H55" s="120"/>
      <c r="I55" s="32"/>
      <c r="J55" s="32"/>
      <c r="K55" s="32"/>
      <c r="L55" s="32"/>
      <c r="M55" s="32"/>
    </row>
    <row r="56" spans="1:13" x14ac:dyDescent="0.15">
      <c r="A56" s="120" t="s">
        <v>284</v>
      </c>
      <c r="B56" s="252">
        <f>IF(B51=0,"n.m.",B55/B51)</f>
        <v>-1.1887683115887753</v>
      </c>
      <c r="C56" s="252">
        <f>IF(C51=0,"n.m.",C55/C51)</f>
        <v>-5.2033676468226568</v>
      </c>
      <c r="D56" s="252">
        <f>IF(D51=0,"n.m.",D55/D51)</f>
        <v>-7.1857183096788235</v>
      </c>
      <c r="E56" s="252">
        <f>IF(E51=0,"n.m.",E55/E51)</f>
        <v>-22.148745240374982</v>
      </c>
      <c r="F56" s="252">
        <f>IF(F51=0,"n.m.",F55/F51)</f>
        <v>-6.9529068457697889</v>
      </c>
      <c r="G56" s="471"/>
      <c r="H56" s="120"/>
      <c r="I56" s="32"/>
      <c r="J56" s="32"/>
      <c r="K56" s="32"/>
      <c r="L56" s="32"/>
      <c r="M56" s="32"/>
    </row>
    <row r="57" spans="1:13" x14ac:dyDescent="0.15">
      <c r="A57" s="120"/>
      <c r="B57" s="252"/>
      <c r="C57" s="252"/>
      <c r="D57" s="252"/>
      <c r="E57" s="252"/>
      <c r="F57" s="252"/>
      <c r="G57" s="471"/>
      <c r="H57" s="120"/>
      <c r="I57" s="32"/>
      <c r="J57" s="32"/>
      <c r="K57" s="32"/>
      <c r="L57" s="32"/>
      <c r="M57" s="32"/>
    </row>
    <row r="58" spans="1:13" x14ac:dyDescent="0.15">
      <c r="A58" s="266" t="s">
        <v>302</v>
      </c>
      <c r="B58" s="266"/>
      <c r="C58" s="266"/>
      <c r="D58" s="266"/>
      <c r="E58" s="266"/>
      <c r="F58" s="266"/>
      <c r="G58" s="472"/>
      <c r="H58" s="120"/>
      <c r="I58" s="32"/>
      <c r="J58" s="32"/>
      <c r="K58" s="32"/>
      <c r="L58" s="32"/>
      <c r="M58" s="32"/>
    </row>
    <row r="59" spans="1:13" x14ac:dyDescent="0.15">
      <c r="A59" s="120" t="s">
        <v>303</v>
      </c>
      <c r="B59" s="255">
        <v>-2918</v>
      </c>
      <c r="C59" s="255">
        <v>-18369</v>
      </c>
      <c r="D59" s="255">
        <v>-3683</v>
      </c>
      <c r="E59" s="255">
        <v>-24905</v>
      </c>
      <c r="F59" s="255">
        <v>-29200</v>
      </c>
      <c r="G59" s="471"/>
      <c r="H59" s="120"/>
      <c r="I59" s="32"/>
      <c r="J59" s="32"/>
      <c r="K59" s="32"/>
      <c r="L59" s="32"/>
      <c r="M59" s="32"/>
    </row>
    <row r="60" spans="1:13" x14ac:dyDescent="0.15">
      <c r="A60" s="120" t="s">
        <v>304</v>
      </c>
      <c r="B60" s="255">
        <v>-19601</v>
      </c>
      <c r="C60" s="255">
        <v>-269462</v>
      </c>
      <c r="D60" s="255">
        <v>-415011</v>
      </c>
      <c r="E60" s="255">
        <v>-279763</v>
      </c>
      <c r="F60" s="255">
        <v>72790</v>
      </c>
      <c r="G60" s="471"/>
      <c r="H60" s="120"/>
      <c r="I60" s="32"/>
      <c r="J60" s="32"/>
      <c r="K60" s="32"/>
      <c r="L60" s="32"/>
      <c r="M60" s="32"/>
    </row>
    <row r="61" spans="1:13" x14ac:dyDescent="0.15">
      <c r="A61" s="120" t="s">
        <v>305</v>
      </c>
      <c r="B61" s="255">
        <v>-403</v>
      </c>
      <c r="C61" s="255">
        <v>-9603</v>
      </c>
      <c r="D61" s="255">
        <v>-2471</v>
      </c>
      <c r="E61" s="255">
        <v>8730</v>
      </c>
      <c r="F61" s="255">
        <v>-4743</v>
      </c>
      <c r="G61" s="471"/>
      <c r="H61" s="120"/>
      <c r="I61" s="32"/>
      <c r="J61" s="32"/>
      <c r="K61" s="32"/>
      <c r="L61" s="32"/>
      <c r="M61" s="32"/>
    </row>
    <row r="62" spans="1:13" x14ac:dyDescent="0.15">
      <c r="A62" s="120" t="s">
        <v>306</v>
      </c>
      <c r="B62" s="255">
        <v>-103</v>
      </c>
      <c r="C62" s="255">
        <v>-113</v>
      </c>
      <c r="D62" s="255">
        <v>-842</v>
      </c>
      <c r="E62" s="255">
        <v>0</v>
      </c>
      <c r="F62" s="255">
        <v>-3088</v>
      </c>
      <c r="G62" s="471"/>
      <c r="H62" s="120"/>
      <c r="I62" s="32"/>
      <c r="J62" s="32"/>
      <c r="K62" s="32"/>
      <c r="L62" s="32"/>
      <c r="M62" s="32"/>
    </row>
    <row r="63" spans="1:13" x14ac:dyDescent="0.15">
      <c r="A63" s="120" t="s">
        <v>307</v>
      </c>
      <c r="B63" s="255">
        <v>12893</v>
      </c>
      <c r="C63" s="255">
        <v>143193</v>
      </c>
      <c r="D63" s="255">
        <v>415973</v>
      </c>
      <c r="E63" s="255">
        <v>179911</v>
      </c>
      <c r="F63" s="255">
        <v>238278</v>
      </c>
      <c r="G63" s="471"/>
      <c r="H63" s="120"/>
      <c r="I63" s="32"/>
      <c r="J63" s="32"/>
      <c r="K63" s="32"/>
      <c r="L63" s="32"/>
      <c r="M63" s="32"/>
    </row>
    <row r="64" spans="1:13" x14ac:dyDescent="0.15">
      <c r="A64" s="120" t="s">
        <v>308</v>
      </c>
      <c r="B64" s="255">
        <v>13137</v>
      </c>
      <c r="C64" s="255">
        <v>38832</v>
      </c>
      <c r="D64" s="255">
        <v>997</v>
      </c>
      <c r="E64" s="255">
        <v>14073</v>
      </c>
      <c r="F64" s="255">
        <v>308</v>
      </c>
      <c r="G64" s="471"/>
      <c r="H64" s="120"/>
      <c r="I64" s="32"/>
      <c r="J64" s="32"/>
      <c r="K64" s="32"/>
      <c r="L64" s="32"/>
      <c r="M64" s="32"/>
    </row>
    <row r="65" spans="1:13" x14ac:dyDescent="0.15">
      <c r="A65" s="120" t="s">
        <v>309</v>
      </c>
      <c r="B65" s="255">
        <v>6888</v>
      </c>
      <c r="C65" s="255">
        <v>19432</v>
      </c>
      <c r="D65" s="255">
        <v>5011</v>
      </c>
      <c r="E65" s="255">
        <v>-1438</v>
      </c>
      <c r="F65" s="255">
        <v>1452</v>
      </c>
      <c r="G65" s="471"/>
      <c r="H65" s="120"/>
      <c r="I65" s="32"/>
      <c r="J65" s="32"/>
      <c r="K65" s="32"/>
      <c r="L65" s="32"/>
      <c r="M65" s="32"/>
    </row>
    <row r="66" spans="1:13" x14ac:dyDescent="0.15">
      <c r="A66" s="263" t="s">
        <v>310</v>
      </c>
      <c r="B66" s="265">
        <f>SUM(B59:B65)</f>
        <v>9893</v>
      </c>
      <c r="C66" s="265">
        <f>SUM(C59:C65)</f>
        <v>-96090</v>
      </c>
      <c r="D66" s="265">
        <f>SUM(D59:D65)</f>
        <v>-26</v>
      </c>
      <c r="E66" s="265">
        <f>SUM(E59:E65)</f>
        <v>-103392</v>
      </c>
      <c r="F66" s="265">
        <f>SUM(F59:F65)</f>
        <v>275797</v>
      </c>
      <c r="G66" s="471"/>
      <c r="H66" s="120"/>
      <c r="I66" s="32"/>
      <c r="J66" s="32"/>
      <c r="K66" s="32"/>
      <c r="L66" s="32"/>
      <c r="M66" s="32"/>
    </row>
    <row r="67" spans="1:13" x14ac:dyDescent="0.15">
      <c r="A67" s="120"/>
      <c r="B67" s="120"/>
      <c r="C67" s="120"/>
      <c r="D67" s="120"/>
      <c r="E67" s="120"/>
      <c r="F67" s="120"/>
      <c r="G67" s="471"/>
      <c r="H67" s="120"/>
      <c r="I67" s="32"/>
      <c r="J67" s="32"/>
      <c r="K67" s="32"/>
      <c r="L67" s="32"/>
      <c r="M67" s="32"/>
    </row>
    <row r="68" spans="1:13" x14ac:dyDescent="0.15">
      <c r="A68" s="266" t="s">
        <v>285</v>
      </c>
      <c r="B68" s="266"/>
      <c r="C68" s="266"/>
      <c r="D68" s="266"/>
      <c r="E68" s="266"/>
      <c r="F68" s="266"/>
      <c r="G68" s="472"/>
      <c r="H68" s="120"/>
      <c r="I68" s="32"/>
      <c r="J68" s="32"/>
      <c r="K68" s="32"/>
      <c r="L68" s="32"/>
      <c r="M68" s="32"/>
    </row>
    <row r="69" spans="1:13" x14ac:dyDescent="0.15">
      <c r="A69" s="120" t="s">
        <v>286</v>
      </c>
      <c r="B69" s="468">
        <v>10342</v>
      </c>
      <c r="C69" s="468">
        <v>28782</v>
      </c>
      <c r="D69" s="468">
        <v>32465</v>
      </c>
      <c r="E69" s="468"/>
      <c r="F69" s="468">
        <v>67866</v>
      </c>
      <c r="G69" s="471"/>
      <c r="H69" s="120"/>
      <c r="I69" s="32"/>
      <c r="J69" s="32"/>
      <c r="K69" s="32"/>
      <c r="L69" s="32"/>
      <c r="M69" s="32"/>
    </row>
    <row r="70" spans="1:13" x14ac:dyDescent="0.15">
      <c r="A70" s="120" t="s">
        <v>287</v>
      </c>
      <c r="B70" s="255">
        <v>27886</v>
      </c>
      <c r="C70" s="255">
        <v>416441</v>
      </c>
      <c r="D70" s="255">
        <v>666841</v>
      </c>
      <c r="E70" s="255"/>
      <c r="F70" s="255">
        <v>453387</v>
      </c>
      <c r="G70" s="471"/>
      <c r="H70" s="120"/>
      <c r="I70" s="32"/>
      <c r="J70" s="32"/>
      <c r="K70" s="32"/>
      <c r="L70" s="32"/>
      <c r="M70" s="32"/>
    </row>
    <row r="71" spans="1:13" x14ac:dyDescent="0.15">
      <c r="A71" s="120" t="s">
        <v>288</v>
      </c>
      <c r="B71" s="255">
        <v>403</v>
      </c>
      <c r="C71" s="255">
        <v>9960</v>
      </c>
      <c r="D71" s="255">
        <v>4718</v>
      </c>
      <c r="E71" s="255"/>
      <c r="F71" s="255">
        <v>6654</v>
      </c>
      <c r="G71" s="471"/>
      <c r="H71" s="120"/>
      <c r="I71" s="32"/>
      <c r="J71" s="32"/>
      <c r="K71" s="32"/>
      <c r="L71" s="32"/>
      <c r="M71" s="32"/>
    </row>
    <row r="72" spans="1:13" x14ac:dyDescent="0.15">
      <c r="A72" s="469" t="s">
        <v>289</v>
      </c>
      <c r="B72" s="265">
        <f>SUM(B69:B71)</f>
        <v>38631</v>
      </c>
      <c r="C72" s="265">
        <f>SUM(C69:C71)</f>
        <v>455183</v>
      </c>
      <c r="D72" s="265">
        <f>SUM(D69:D71)</f>
        <v>704024</v>
      </c>
      <c r="E72" s="265"/>
      <c r="F72" s="265">
        <f>SUM(F69:F71)</f>
        <v>527907</v>
      </c>
      <c r="G72" s="471"/>
      <c r="H72" s="120"/>
      <c r="I72" s="32"/>
      <c r="J72" s="32"/>
      <c r="K72" s="32"/>
      <c r="L72" s="32"/>
      <c r="M72" s="32"/>
    </row>
    <row r="73" spans="1:13" x14ac:dyDescent="0.15">
      <c r="A73" s="120" t="s">
        <v>290</v>
      </c>
      <c r="B73" s="255">
        <v>25834</v>
      </c>
      <c r="C73" s="255">
        <v>288197</v>
      </c>
      <c r="D73" s="255">
        <v>603488</v>
      </c>
      <c r="E73" s="255"/>
      <c r="F73" s="255">
        <v>838417</v>
      </c>
      <c r="G73" s="471"/>
      <c r="H73" s="120"/>
      <c r="I73" s="32"/>
      <c r="J73" s="32"/>
      <c r="K73" s="32"/>
      <c r="L73" s="32"/>
      <c r="M73" s="32"/>
    </row>
    <row r="74" spans="1:13" x14ac:dyDescent="0.15">
      <c r="A74" s="120" t="s">
        <v>291</v>
      </c>
      <c r="B74" s="255">
        <v>35230</v>
      </c>
      <c r="C74" s="255">
        <v>74062</v>
      </c>
      <c r="D74" s="255">
        <v>75059</v>
      </c>
      <c r="E74" s="255"/>
      <c r="F74" s="255">
        <v>75367</v>
      </c>
      <c r="G74" s="471"/>
      <c r="H74" s="120"/>
      <c r="I74" s="32"/>
      <c r="J74" s="32"/>
      <c r="K74" s="32"/>
      <c r="L74" s="32"/>
      <c r="M74" s="32"/>
    </row>
    <row r="75" spans="1:13" x14ac:dyDescent="0.15">
      <c r="A75" s="469" t="s">
        <v>292</v>
      </c>
      <c r="B75" s="265">
        <f>SUM(B73:B74)</f>
        <v>61064</v>
      </c>
      <c r="C75" s="265">
        <f>SUM(C73:C74)</f>
        <v>362259</v>
      </c>
      <c r="D75" s="265">
        <f>SUM(D73:D74)</f>
        <v>678547</v>
      </c>
      <c r="E75" s="265"/>
      <c r="F75" s="265">
        <f>SUM(F73:F74)</f>
        <v>913784</v>
      </c>
      <c r="G75" s="471"/>
      <c r="H75" s="120"/>
      <c r="I75" s="32"/>
      <c r="J75" s="32"/>
      <c r="K75" s="32"/>
      <c r="L75" s="32"/>
      <c r="M75" s="32"/>
    </row>
    <row r="76" spans="1:13" x14ac:dyDescent="0.15">
      <c r="A76" s="257" t="s">
        <v>293</v>
      </c>
      <c r="B76" s="262">
        <f>B72-B75</f>
        <v>-22433</v>
      </c>
      <c r="C76" s="262">
        <f>C72-C75</f>
        <v>92924</v>
      </c>
      <c r="D76" s="262">
        <f>D72-D75</f>
        <v>25477</v>
      </c>
      <c r="E76" s="262"/>
      <c r="F76" s="262">
        <f>F72-F75</f>
        <v>-385877</v>
      </c>
      <c r="G76" s="471"/>
      <c r="H76" s="120"/>
      <c r="I76" s="32"/>
      <c r="J76" s="32"/>
      <c r="K76" s="32"/>
      <c r="L76" s="32"/>
      <c r="M76" s="32"/>
    </row>
    <row r="77" spans="1:13" x14ac:dyDescent="0.15">
      <c r="A77" s="120" t="s">
        <v>294</v>
      </c>
      <c r="B77" s="255">
        <v>103</v>
      </c>
      <c r="C77" s="255">
        <v>216</v>
      </c>
      <c r="D77" s="255">
        <v>1058</v>
      </c>
      <c r="E77" s="255"/>
      <c r="F77" s="255">
        <v>4146</v>
      </c>
      <c r="G77" s="471"/>
      <c r="H77" s="120"/>
      <c r="I77" s="32"/>
      <c r="J77" s="32"/>
      <c r="K77" s="32"/>
      <c r="L77" s="32"/>
      <c r="M77" s="32"/>
    </row>
    <row r="78" spans="1:13" x14ac:dyDescent="0.15">
      <c r="A78" s="257" t="s">
        <v>295</v>
      </c>
      <c r="B78" s="262">
        <f>B76+B77</f>
        <v>-22330</v>
      </c>
      <c r="C78" s="262">
        <f>C76+C77</f>
        <v>93140</v>
      </c>
      <c r="D78" s="262">
        <f>D76+D77</f>
        <v>26535</v>
      </c>
      <c r="E78" s="262"/>
      <c r="F78" s="262">
        <f>F76+F77</f>
        <v>-381731</v>
      </c>
      <c r="G78" s="471"/>
      <c r="H78" s="120"/>
      <c r="I78" s="32"/>
      <c r="J78" s="32"/>
      <c r="K78" s="32"/>
      <c r="L78" s="32"/>
      <c r="M78" s="32"/>
    </row>
    <row r="79" spans="1:13" x14ac:dyDescent="0.15">
      <c r="A79" s="257" t="s">
        <v>296</v>
      </c>
      <c r="B79" s="261">
        <v>-232324</v>
      </c>
      <c r="C79" s="261">
        <v>-1745410</v>
      </c>
      <c r="D79" s="261">
        <v>-4822188</v>
      </c>
      <c r="E79" s="261"/>
      <c r="F79" s="261">
        <v>-7088861</v>
      </c>
      <c r="G79" s="471"/>
      <c r="H79" s="120"/>
      <c r="I79" s="32"/>
      <c r="J79" s="32"/>
      <c r="K79" s="32"/>
      <c r="L79" s="32"/>
      <c r="M79" s="32"/>
    </row>
    <row r="80" spans="1:13" x14ac:dyDescent="0.15">
      <c r="A80" s="120"/>
      <c r="B80" s="120"/>
      <c r="C80" s="120"/>
      <c r="D80" s="120"/>
      <c r="E80" s="120"/>
      <c r="F80" s="120"/>
      <c r="G80" s="471"/>
      <c r="H80" s="120"/>
      <c r="I80" s="32"/>
      <c r="J80" s="32"/>
      <c r="K80" s="32"/>
      <c r="L80" s="32"/>
      <c r="M80" s="32"/>
    </row>
    <row r="81" spans="1:13" x14ac:dyDescent="0.15">
      <c r="A81" s="266" t="s">
        <v>297</v>
      </c>
      <c r="B81" s="266"/>
      <c r="C81" s="266"/>
      <c r="D81" s="266"/>
      <c r="E81" s="266"/>
      <c r="F81" s="266"/>
      <c r="G81" s="472"/>
      <c r="H81" s="120"/>
      <c r="I81" s="32"/>
      <c r="J81" s="32"/>
      <c r="K81" s="32"/>
      <c r="L81" s="32"/>
      <c r="M81" s="32"/>
    </row>
    <row r="82" spans="1:13" x14ac:dyDescent="0.15">
      <c r="A82" s="120" t="s">
        <v>298</v>
      </c>
      <c r="B82" s="251">
        <f>B51</f>
        <v>57409</v>
      </c>
      <c r="C82" s="251">
        <f>C51</f>
        <v>124538</v>
      </c>
      <c r="D82" s="251">
        <f>D51</f>
        <v>312414</v>
      </c>
      <c r="E82" s="251"/>
      <c r="F82" s="251">
        <f>F51</f>
        <v>190877</v>
      </c>
      <c r="G82" s="471"/>
      <c r="H82" s="120"/>
      <c r="I82" s="32"/>
      <c r="J82" s="32"/>
      <c r="K82" s="32"/>
      <c r="L82" s="32"/>
      <c r="M82" s="32"/>
    </row>
    <row r="83" spans="1:13" x14ac:dyDescent="0.15">
      <c r="A83" s="120" t="s">
        <v>299</v>
      </c>
      <c r="B83" s="251">
        <f>B51*1</f>
        <v>57409</v>
      </c>
      <c r="C83" s="251">
        <f>C51*1</f>
        <v>124538</v>
      </c>
      <c r="D83" s="251">
        <f>D51*1</f>
        <v>312414</v>
      </c>
      <c r="E83" s="251"/>
      <c r="F83" s="251">
        <f>F51*2</f>
        <v>381754</v>
      </c>
      <c r="G83" s="471"/>
      <c r="H83" s="120"/>
      <c r="I83" s="32"/>
      <c r="J83" s="32"/>
      <c r="K83" s="32"/>
      <c r="L83" s="32"/>
      <c r="M83" s="32"/>
    </row>
    <row r="84" spans="1:13" x14ac:dyDescent="0.15">
      <c r="A84" s="120" t="s">
        <v>300</v>
      </c>
      <c r="B84" s="252">
        <f>IF(B82=0,"n.m.",B76/B82)</f>
        <v>-0.39075754672612306</v>
      </c>
      <c r="C84" s="252">
        <f>IF(C82=0,"n.m.",C76/C82)</f>
        <v>0.7461497695482503</v>
      </c>
      <c r="D84" s="252">
        <f>IF(D82=0,"n.m.",D76/D82)</f>
        <v>8.1548842241384825E-2</v>
      </c>
      <c r="E84" s="252"/>
      <c r="F84" s="252">
        <f>IF(F82=0,"n.m.",F76/F82)</f>
        <v>-2.0216002975738303</v>
      </c>
      <c r="G84" s="471"/>
      <c r="H84" s="120"/>
      <c r="I84" s="32"/>
      <c r="J84" s="32"/>
      <c r="K84" s="32"/>
      <c r="L84" s="32"/>
      <c r="M84" s="32"/>
    </row>
    <row r="85" spans="1:13" x14ac:dyDescent="0.15">
      <c r="A85" s="120" t="s">
        <v>301</v>
      </c>
      <c r="B85" s="252">
        <f>IF(B83=0,"n.m.",B76/B83)</f>
        <v>-0.39075754672612306</v>
      </c>
      <c r="C85" s="252">
        <f>IF(C83=0,"n.m.",C76/C83)</f>
        <v>0.7461497695482503</v>
      </c>
      <c r="D85" s="252">
        <f>IF(D83=0,"n.m.",D76/D83)</f>
        <v>8.1548842241384825E-2</v>
      </c>
      <c r="E85" s="252"/>
      <c r="F85" s="252">
        <f>IF(F83=0,"n.m.",F76/F83)</f>
        <v>-1.0108001487869152</v>
      </c>
      <c r="G85" s="471"/>
      <c r="H85" s="120"/>
      <c r="I85" s="32"/>
      <c r="J85" s="32"/>
      <c r="K85" s="32"/>
      <c r="L85" s="32"/>
      <c r="M85" s="32"/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N108"/>
  <sheetViews>
    <sheetView showGridLines="0" zoomScale="105" zoomScaleNormal="10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11" sqref="C11"/>
    </sheetView>
  </sheetViews>
  <sheetFormatPr baseColWidth="10" defaultRowHeight="15" x14ac:dyDescent="0.2"/>
  <cols>
    <col min="1" max="1" width="38.33203125" style="9" customWidth="1"/>
    <col min="2" max="4" width="12.83203125" style="9" customWidth="1"/>
    <col min="5" max="5" width="10.83203125" style="9" customWidth="1"/>
    <col min="6" max="6" width="3" style="470" customWidth="1"/>
    <col min="7" max="8" width="12.83203125" style="9" customWidth="1"/>
    <col min="9" max="15" width="10.83203125" style="9" customWidth="1"/>
    <col min="16" max="16" width="4.5" style="9" customWidth="1"/>
    <col min="17" max="17" width="8.5" style="9" customWidth="1"/>
    <col min="18" max="18" width="9.6640625" style="9" customWidth="1"/>
    <col min="19" max="19" width="8" style="9" customWidth="1"/>
    <col min="20" max="20" width="13.33203125" style="9" customWidth="1"/>
    <col min="21" max="23" width="10.83203125" style="9" customWidth="1"/>
    <col min="24" max="16384" width="10.83203125" style="9"/>
  </cols>
  <sheetData>
    <row r="1" spans="1:14" ht="19" customHeight="1" x14ac:dyDescent="0.15">
      <c r="A1" s="473" t="s">
        <v>311</v>
      </c>
      <c r="F1" s="2"/>
    </row>
    <row r="2" spans="1:14" ht="14" x14ac:dyDescent="0.15">
      <c r="A2" s="10" t="s">
        <v>312</v>
      </c>
      <c r="F2" s="2"/>
    </row>
    <row r="3" spans="1:14" ht="14" x14ac:dyDescent="0.15">
      <c r="B3" s="11" t="s">
        <v>3</v>
      </c>
      <c r="C3" s="11"/>
      <c r="D3" s="11"/>
      <c r="E3" s="11"/>
      <c r="F3" s="2"/>
      <c r="G3" s="11" t="s">
        <v>4</v>
      </c>
      <c r="H3" s="11"/>
      <c r="I3" s="2"/>
    </row>
    <row r="4" spans="1:14" ht="14" x14ac:dyDescent="0.15">
      <c r="B4" s="59" t="s">
        <v>313</v>
      </c>
      <c r="C4" s="59"/>
      <c r="D4" s="59"/>
      <c r="E4" s="59"/>
      <c r="F4" s="2"/>
      <c r="G4" s="168" t="s">
        <v>314</v>
      </c>
      <c r="H4" s="168"/>
    </row>
    <row r="5" spans="1:14" ht="14" x14ac:dyDescent="0.15">
      <c r="B5" s="59">
        <v>2022</v>
      </c>
      <c r="C5" s="59">
        <v>2023</v>
      </c>
      <c r="D5" s="59">
        <v>2024</v>
      </c>
      <c r="E5" s="59" t="s">
        <v>679</v>
      </c>
      <c r="F5" s="2"/>
      <c r="G5" s="59">
        <v>2024</v>
      </c>
      <c r="H5" s="59">
        <v>2025</v>
      </c>
    </row>
    <row r="6" spans="1:14" ht="8" customHeight="1" x14ac:dyDescent="0.15">
      <c r="F6" s="2"/>
    </row>
    <row r="7" spans="1:14" ht="14" customHeight="1" x14ac:dyDescent="0.15">
      <c r="A7" s="5" t="s">
        <v>2</v>
      </c>
      <c r="B7" s="5"/>
      <c r="C7" s="5"/>
      <c r="D7" s="5"/>
      <c r="E7" s="5"/>
      <c r="F7" s="5"/>
      <c r="G7" s="5"/>
      <c r="H7" s="5"/>
      <c r="I7" s="5"/>
    </row>
    <row r="8" spans="1:14" ht="14" customHeight="1" x14ac:dyDescent="0.15">
      <c r="A8" s="12" t="s">
        <v>88</v>
      </c>
      <c r="B8" s="60">
        <v>0</v>
      </c>
      <c r="C8" s="60">
        <v>3460</v>
      </c>
      <c r="D8" s="60">
        <v>30523</v>
      </c>
      <c r="F8" s="2"/>
      <c r="G8" s="60">
        <v>19454</v>
      </c>
      <c r="H8" s="60">
        <v>53437</v>
      </c>
    </row>
    <row r="9" spans="1:14" ht="14" x14ac:dyDescent="0.15">
      <c r="A9" s="32" t="s">
        <v>315</v>
      </c>
      <c r="B9" s="61">
        <v>0</v>
      </c>
      <c r="C9" s="61">
        <v>-4314</v>
      </c>
      <c r="D9" s="61">
        <v>-26785</v>
      </c>
      <c r="F9" s="2"/>
      <c r="G9" s="61">
        <v>-18944</v>
      </c>
      <c r="H9" s="61">
        <v>-40961</v>
      </c>
    </row>
    <row r="10" spans="1:14" ht="14" x14ac:dyDescent="0.15">
      <c r="A10" s="170" t="s">
        <v>316</v>
      </c>
      <c r="B10" s="172">
        <f>B8+B9</f>
        <v>0</v>
      </c>
      <c r="C10" s="172">
        <f>C8+C9</f>
        <v>-854</v>
      </c>
      <c r="D10" s="172">
        <f>D8+D9</f>
        <v>3738</v>
      </c>
      <c r="F10" s="230"/>
      <c r="G10" s="172">
        <f>G8+G9</f>
        <v>510</v>
      </c>
      <c r="H10" s="172">
        <f>H8+H9</f>
        <v>12476</v>
      </c>
    </row>
    <row r="11" spans="1:14" ht="14" x14ac:dyDescent="0.15">
      <c r="A11" s="71" t="s">
        <v>23</v>
      </c>
      <c r="B11" s="234"/>
      <c r="C11" s="234">
        <f>C10/C$8</f>
        <v>-0.2468208092485549</v>
      </c>
      <c r="D11" s="234">
        <f>D10/D$8</f>
        <v>0.12246502637355437</v>
      </c>
      <c r="E11" s="68"/>
      <c r="F11" s="282"/>
      <c r="G11" s="234">
        <f>G10/G$8</f>
        <v>2.6215688290325896E-2</v>
      </c>
      <c r="H11" s="234">
        <f>H10/H$8</f>
        <v>0.23347119037371111</v>
      </c>
      <c r="I11" s="68"/>
      <c r="J11" s="20"/>
      <c r="K11" s="20"/>
      <c r="L11" s="20"/>
      <c r="M11" s="20"/>
      <c r="N11" s="20"/>
    </row>
    <row r="12" spans="1:14" ht="14" x14ac:dyDescent="0.15">
      <c r="F12" s="2"/>
    </row>
    <row r="13" spans="1:14" ht="14" x14ac:dyDescent="0.15">
      <c r="A13" s="32" t="s">
        <v>317</v>
      </c>
      <c r="B13" s="61">
        <v>1155</v>
      </c>
      <c r="C13" s="61">
        <v>8942</v>
      </c>
      <c r="D13" s="61">
        <v>36151</v>
      </c>
      <c r="F13" s="2"/>
      <c r="G13" s="61">
        <v>25278</v>
      </c>
      <c r="H13" s="61">
        <v>31232</v>
      </c>
    </row>
    <row r="14" spans="1:14" ht="14" x14ac:dyDescent="0.15">
      <c r="A14" s="32" t="s">
        <v>318</v>
      </c>
      <c r="B14" s="61">
        <v>-587</v>
      </c>
      <c r="C14" s="61">
        <v>-22827</v>
      </c>
      <c r="D14" s="61">
        <v>-86995</v>
      </c>
      <c r="F14" s="2"/>
      <c r="G14" s="61">
        <v>-53389</v>
      </c>
      <c r="H14" s="61">
        <v>-39325</v>
      </c>
    </row>
    <row r="15" spans="1:14" ht="14" x14ac:dyDescent="0.15">
      <c r="A15" s="32" t="s">
        <v>319</v>
      </c>
      <c r="B15" s="61">
        <v>-3213</v>
      </c>
      <c r="C15" s="61">
        <v>-7615</v>
      </c>
      <c r="D15" s="61">
        <v>-14384</v>
      </c>
      <c r="F15" s="2"/>
      <c r="G15" s="61">
        <v>-9610</v>
      </c>
      <c r="H15" s="61">
        <v>-22074</v>
      </c>
    </row>
    <row r="16" spans="1:14" ht="14" x14ac:dyDescent="0.15">
      <c r="A16" s="32" t="s">
        <v>320</v>
      </c>
      <c r="B16" s="61">
        <v>-10560</v>
      </c>
      <c r="C16" s="61">
        <v>-70002</v>
      </c>
      <c r="D16" s="61">
        <v>-188979</v>
      </c>
      <c r="F16" s="2"/>
      <c r="G16" s="61">
        <v>-138684</v>
      </c>
      <c r="H16" s="61">
        <v>-180312</v>
      </c>
    </row>
    <row r="17" spans="1:8" ht="14" customHeight="1" x14ac:dyDescent="0.15">
      <c r="A17" s="32" t="s">
        <v>321</v>
      </c>
      <c r="B17" s="61">
        <v>-60509</v>
      </c>
      <c r="C17" s="61">
        <v>-176826</v>
      </c>
      <c r="D17" s="61">
        <v>-214172</v>
      </c>
      <c r="F17" s="2"/>
      <c r="G17" s="61">
        <v>-128063</v>
      </c>
      <c r="H17" s="61">
        <v>-313477</v>
      </c>
    </row>
    <row r="18" spans="1:8" ht="14" customHeight="1" x14ac:dyDescent="0.15">
      <c r="A18" s="32" t="s">
        <v>255</v>
      </c>
      <c r="B18" s="61">
        <v>-14</v>
      </c>
      <c r="C18" s="61">
        <v>-61</v>
      </c>
      <c r="D18" s="61">
        <v>-509</v>
      </c>
      <c r="F18" s="2"/>
      <c r="G18" s="61">
        <v>-316</v>
      </c>
      <c r="H18" s="61">
        <v>-511</v>
      </c>
    </row>
    <row r="19" spans="1:8" ht="14" customHeight="1" x14ac:dyDescent="0.15">
      <c r="A19" s="32" t="s">
        <v>322</v>
      </c>
      <c r="B19" s="61">
        <v>0</v>
      </c>
      <c r="C19" s="61">
        <v>-3</v>
      </c>
      <c r="D19" s="61">
        <v>-88</v>
      </c>
      <c r="F19" s="2"/>
      <c r="G19" s="61">
        <v>-68</v>
      </c>
      <c r="H19" s="61">
        <v>-22</v>
      </c>
    </row>
    <row r="20" spans="1:8" ht="14" customHeight="1" x14ac:dyDescent="0.15">
      <c r="A20" s="169" t="s">
        <v>323</v>
      </c>
      <c r="B20" s="62">
        <f>B10+SUM(B13:B19)</f>
        <v>-73728</v>
      </c>
      <c r="C20" s="62">
        <f>C10+SUM(C13:C19)</f>
        <v>-269246</v>
      </c>
      <c r="D20" s="62">
        <f>D10+SUM(D13:D19)</f>
        <v>-465238</v>
      </c>
      <c r="F20" s="229"/>
      <c r="G20" s="62">
        <f>G10+SUM(G13:G19)</f>
        <v>-304342</v>
      </c>
      <c r="H20" s="62">
        <f>H10+SUM(H13:H19)</f>
        <v>-512013</v>
      </c>
    </row>
    <row r="21" spans="1:8" ht="14" customHeight="1" x14ac:dyDescent="0.15">
      <c r="F21" s="2"/>
    </row>
    <row r="22" spans="1:8" ht="14" customHeight="1" x14ac:dyDescent="0.15">
      <c r="A22" s="32" t="s">
        <v>324</v>
      </c>
      <c r="B22" s="61">
        <v>0</v>
      </c>
      <c r="C22" s="61">
        <v>0</v>
      </c>
      <c r="D22" s="61">
        <v>0</v>
      </c>
      <c r="F22" s="2"/>
      <c r="G22" s="61">
        <v>0</v>
      </c>
      <c r="H22" s="61">
        <v>0</v>
      </c>
    </row>
    <row r="23" spans="1:8" ht="17" customHeight="1" x14ac:dyDescent="0.15">
      <c r="A23" s="170" t="s">
        <v>325</v>
      </c>
      <c r="B23" s="171">
        <f>B20+B22</f>
        <v>-73728</v>
      </c>
      <c r="C23" s="171">
        <f>C20+C22</f>
        <v>-269246</v>
      </c>
      <c r="D23" s="171">
        <f>D20+D22</f>
        <v>-465238</v>
      </c>
      <c r="F23" s="230"/>
      <c r="G23" s="171">
        <f>G20+G22</f>
        <v>-304342</v>
      </c>
      <c r="H23" s="171">
        <f>H20+H22</f>
        <v>-512013</v>
      </c>
    </row>
    <row r="24" spans="1:8" ht="17" customHeight="1" x14ac:dyDescent="0.15">
      <c r="F24" s="2"/>
    </row>
    <row r="25" spans="1:8" ht="14" customHeight="1" x14ac:dyDescent="0.15">
      <c r="A25" s="63" t="s">
        <v>326</v>
      </c>
      <c r="F25" s="2"/>
    </row>
    <row r="26" spans="1:8" ht="14" customHeight="1" x14ac:dyDescent="0.15">
      <c r="A26" s="32" t="s">
        <v>327</v>
      </c>
      <c r="B26" s="61">
        <v>-73728</v>
      </c>
      <c r="C26" s="61">
        <v>-269246</v>
      </c>
      <c r="D26" s="61">
        <v>-465238</v>
      </c>
      <c r="F26" s="2"/>
      <c r="G26" s="61">
        <v>-304342</v>
      </c>
      <c r="H26" s="61">
        <v>-512013</v>
      </c>
    </row>
    <row r="27" spans="1:8" ht="14" customHeight="1" x14ac:dyDescent="0.15">
      <c r="A27" s="32" t="s">
        <v>328</v>
      </c>
      <c r="B27" s="61">
        <v>0</v>
      </c>
      <c r="C27" s="61">
        <v>0</v>
      </c>
      <c r="D27" s="61">
        <v>0</v>
      </c>
      <c r="F27" s="2"/>
      <c r="G27" s="61">
        <v>0</v>
      </c>
      <c r="H27" s="61">
        <v>0</v>
      </c>
    </row>
    <row r="28" spans="1:8" ht="14" x14ac:dyDescent="0.15">
      <c r="F28" s="2"/>
    </row>
    <row r="29" spans="1:8" ht="14" x14ac:dyDescent="0.15">
      <c r="A29" s="12" t="s">
        <v>329</v>
      </c>
      <c r="F29" s="2"/>
    </row>
    <row r="30" spans="1:8" ht="14" x14ac:dyDescent="0.15">
      <c r="B30" s="64" t="s">
        <v>330</v>
      </c>
      <c r="C30" s="64" t="s">
        <v>331</v>
      </c>
      <c r="D30" s="64" t="s">
        <v>332</v>
      </c>
      <c r="F30" s="2"/>
      <c r="G30" s="64" t="s">
        <v>333</v>
      </c>
      <c r="H30" s="64" t="s">
        <v>334</v>
      </c>
    </row>
    <row r="31" spans="1:8" ht="14" x14ac:dyDescent="0.15">
      <c r="A31" s="32" t="s">
        <v>335</v>
      </c>
      <c r="B31" s="281" t="str">
        <f>IFERROR(B10/B$8,"n/m")</f>
        <v>n/m</v>
      </c>
      <c r="C31" s="281">
        <f>IFERROR(C10/C$8,"n/m")</f>
        <v>-0.2468208092485549</v>
      </c>
      <c r="D31" s="281">
        <f>IFERROR(D10/D$8,"n/m")</f>
        <v>0.12246502637355437</v>
      </c>
      <c r="F31" s="282"/>
      <c r="G31" s="281">
        <f>IFERROR(G10/G$8,"n/m")</f>
        <v>2.6215688290325896E-2</v>
      </c>
      <c r="H31" s="281">
        <f>IFERROR(H10/H$8,"n/m")</f>
        <v>0.23347119037371111</v>
      </c>
    </row>
    <row r="32" spans="1:8" ht="14" x14ac:dyDescent="0.15">
      <c r="A32" s="32" t="s">
        <v>336</v>
      </c>
      <c r="B32" s="281" t="str">
        <f>IFERROR(B20/B$8,"n/m")</f>
        <v>n/m</v>
      </c>
      <c r="C32" s="281">
        <f>IFERROR(C20/C$8,"n/m")</f>
        <v>-77.816763005780345</v>
      </c>
      <c r="D32" s="281">
        <f>IFERROR(D20/D$8,"n/m")</f>
        <v>-15.242210791861874</v>
      </c>
      <c r="F32" s="282"/>
      <c r="G32" s="281">
        <f>IFERROR(G20/G$8,"n/m")</f>
        <v>-15.644186285596792</v>
      </c>
      <c r="H32" s="281">
        <f>IFERROR(H20/H$8,"n/m")</f>
        <v>-9.5816194771413059</v>
      </c>
    </row>
    <row r="33" spans="1:13" ht="14" customHeight="1" x14ac:dyDescent="0.15">
      <c r="A33" s="32" t="s">
        <v>337</v>
      </c>
      <c r="B33" s="281" t="str">
        <f>IFERROR(B23/B$8,"n/m")</f>
        <v>n/m</v>
      </c>
      <c r="C33" s="281">
        <f>IFERROR(C23/C$8,"n/m")</f>
        <v>-77.816763005780345</v>
      </c>
      <c r="D33" s="281">
        <f>IFERROR(D23/D$8,"n/m")</f>
        <v>-15.242210791861874</v>
      </c>
      <c r="F33" s="282"/>
      <c r="G33" s="281">
        <f>IFERROR(G23/G$8,"n/m")</f>
        <v>-15.644186285596792</v>
      </c>
      <c r="H33" s="281">
        <f>IFERROR(H23/H$8,"n/m")</f>
        <v>-9.5816194771413059</v>
      </c>
    </row>
    <row r="34" spans="1:13" ht="14" customHeight="1" x14ac:dyDescent="0.15">
      <c r="F34" s="2"/>
    </row>
    <row r="35" spans="1:13" ht="14" customHeight="1" x14ac:dyDescent="0.2">
      <c r="F35" s="2"/>
      <c r="J35" s="470"/>
      <c r="K35" s="470"/>
      <c r="L35" s="470"/>
      <c r="M35" s="470"/>
    </row>
    <row r="36" spans="1:13" ht="16" customHeight="1" x14ac:dyDescent="0.2">
      <c r="A36" s="26" t="s">
        <v>673</v>
      </c>
      <c r="B36" s="26"/>
      <c r="C36" s="26"/>
      <c r="D36" s="26"/>
      <c r="E36" s="26"/>
      <c r="F36" s="26"/>
      <c r="G36" s="26"/>
      <c r="H36" s="26"/>
      <c r="I36" s="26"/>
      <c r="J36" s="470"/>
      <c r="K36" s="470"/>
      <c r="L36" s="470"/>
      <c r="M36" s="470"/>
    </row>
    <row r="37" spans="1:13" ht="14" customHeight="1" x14ac:dyDescent="0.15">
      <c r="A37" s="35" t="s">
        <v>262</v>
      </c>
      <c r="B37" s="462"/>
      <c r="C37" s="462"/>
      <c r="D37" s="463">
        <f>-D16</f>
        <v>188979</v>
      </c>
      <c r="E37" s="464">
        <f>H37*4/3</f>
        <v>240416</v>
      </c>
      <c r="F37" s="465"/>
      <c r="G37" s="466"/>
      <c r="H37" s="464">
        <f>-H16</f>
        <v>180312</v>
      </c>
    </row>
    <row r="38" spans="1:13" ht="14" customHeight="1" x14ac:dyDescent="0.15">
      <c r="A38" s="9" t="s">
        <v>680</v>
      </c>
      <c r="B38" s="2"/>
      <c r="C38" s="2"/>
      <c r="D38" s="206">
        <v>140600</v>
      </c>
      <c r="E38" s="204">
        <f>H38*4/3</f>
        <v>189866.66666666666</v>
      </c>
      <c r="F38" s="120"/>
      <c r="G38" s="32"/>
      <c r="H38" s="61">
        <v>142400</v>
      </c>
    </row>
    <row r="39" spans="1:13" ht="14" customHeight="1" x14ac:dyDescent="0.15">
      <c r="A39" s="32" t="s">
        <v>681</v>
      </c>
      <c r="B39" s="2"/>
      <c r="C39" s="2"/>
      <c r="D39" s="206">
        <v>40400</v>
      </c>
      <c r="E39" s="204">
        <f>H39*4/3</f>
        <v>38000</v>
      </c>
      <c r="F39" s="120"/>
      <c r="G39" s="32"/>
      <c r="H39" s="61">
        <v>28500</v>
      </c>
    </row>
    <row r="40" spans="1:13" ht="14" customHeight="1" x14ac:dyDescent="0.15">
      <c r="A40" s="32" t="s">
        <v>682</v>
      </c>
      <c r="B40" s="2"/>
      <c r="C40" s="2"/>
      <c r="D40" s="206">
        <v>4700</v>
      </c>
      <c r="E40" s="204">
        <f>H40*4/3</f>
        <v>8400</v>
      </c>
      <c r="F40" s="120"/>
      <c r="G40" s="32"/>
      <c r="H40" s="61">
        <v>6300</v>
      </c>
    </row>
    <row r="41" spans="1:13" ht="14" customHeight="1" x14ac:dyDescent="0.15">
      <c r="A41" s="32" t="s">
        <v>683</v>
      </c>
      <c r="B41" s="2"/>
      <c r="C41" s="2"/>
      <c r="D41" s="205">
        <f>D37-SUM(D38:D40)</f>
        <v>3279</v>
      </c>
      <c r="E41" s="204">
        <f>E37-SUM(E38:E40)</f>
        <v>4149.333333333343</v>
      </c>
      <c r="F41" s="120"/>
      <c r="G41" s="32"/>
      <c r="H41" s="204">
        <f>H37-SUM(H38:H40)</f>
        <v>3112</v>
      </c>
    </row>
    <row r="42" spans="1:13" ht="14" customHeight="1" x14ac:dyDescent="0.15">
      <c r="A42" s="32"/>
      <c r="B42" s="2"/>
      <c r="C42" s="2"/>
      <c r="D42" s="205"/>
      <c r="E42" s="204"/>
      <c r="F42" s="120"/>
      <c r="G42" s="32"/>
      <c r="H42" s="204"/>
    </row>
    <row r="43" spans="1:13" ht="14" customHeight="1" x14ac:dyDescent="0.15">
      <c r="A43" s="71" t="s">
        <v>684</v>
      </c>
      <c r="B43" s="282"/>
      <c r="C43" s="282"/>
      <c r="D43" s="240">
        <f>D38/D37</f>
        <v>0.7439980103609396</v>
      </c>
      <c r="E43" s="240">
        <f>E38/E37</f>
        <v>0.78974222458849097</v>
      </c>
      <c r="F43" s="467"/>
      <c r="G43" s="240"/>
      <c r="H43" s="240">
        <f>H38/H37</f>
        <v>0.78974222458849108</v>
      </c>
    </row>
    <row r="44" spans="1:13" ht="14" customHeight="1" x14ac:dyDescent="0.15">
      <c r="A44" s="71" t="s">
        <v>685</v>
      </c>
      <c r="B44" s="282"/>
      <c r="C44" s="282"/>
      <c r="D44" s="240">
        <f>D39/D37</f>
        <v>0.21378036713073939</v>
      </c>
      <c r="E44" s="240">
        <f>E39/E37</f>
        <v>0.15805936376946625</v>
      </c>
      <c r="F44" s="467"/>
      <c r="G44" s="240"/>
      <c r="H44" s="240">
        <f>H39/H37</f>
        <v>0.15805936376946625</v>
      </c>
    </row>
    <row r="45" spans="1:13" ht="14" customHeight="1" x14ac:dyDescent="0.15">
      <c r="A45" s="71" t="s">
        <v>686</v>
      </c>
      <c r="B45" s="282"/>
      <c r="C45" s="282"/>
      <c r="D45" s="240">
        <f>D40/D37</f>
        <v>2.4870488255308791E-2</v>
      </c>
      <c r="E45" s="240">
        <f>E40/E37</f>
        <v>3.4939438306934648E-2</v>
      </c>
      <c r="F45" s="467"/>
      <c r="G45" s="240"/>
      <c r="H45" s="240">
        <f>H40/H37</f>
        <v>3.4939438306934648E-2</v>
      </c>
    </row>
    <row r="46" spans="1:13" ht="14" customHeight="1" x14ac:dyDescent="0.15">
      <c r="A46" s="71" t="s">
        <v>687</v>
      </c>
      <c r="B46" s="282"/>
      <c r="C46" s="282"/>
      <c r="D46" s="240">
        <f>D41/D37</f>
        <v>1.735113425301224E-2</v>
      </c>
      <c r="E46" s="240">
        <f>E41/E37</f>
        <v>1.7258973335108074E-2</v>
      </c>
      <c r="F46" s="467"/>
      <c r="G46" s="240"/>
      <c r="H46" s="240">
        <f>H41/H37</f>
        <v>1.7258973335108035E-2</v>
      </c>
    </row>
    <row r="47" spans="1:13" ht="14" customHeight="1" x14ac:dyDescent="0.15">
      <c r="F47" s="2"/>
    </row>
    <row r="48" spans="1:13" ht="14" customHeight="1" x14ac:dyDescent="0.15">
      <c r="A48" s="68" t="s">
        <v>340</v>
      </c>
      <c r="C48" s="2"/>
      <c r="F48" s="2"/>
      <c r="H48" s="203">
        <v>38000</v>
      </c>
    </row>
    <row r="49" spans="1:11" ht="14" customHeight="1" x14ac:dyDescent="0.15">
      <c r="F49" s="2"/>
    </row>
    <row r="50" spans="1:11" ht="14" customHeight="1" x14ac:dyDescent="0.15">
      <c r="A50" s="26" t="s">
        <v>676</v>
      </c>
      <c r="B50" s="26"/>
      <c r="C50" s="26"/>
      <c r="D50" s="26"/>
      <c r="E50" s="26"/>
      <c r="F50" s="5"/>
      <c r="G50" s="26"/>
      <c r="H50" s="26"/>
      <c r="I50" s="26"/>
    </row>
    <row r="51" spans="1:11" ht="8" customHeight="1" x14ac:dyDescent="0.15">
      <c r="A51" s="231"/>
      <c r="F51" s="2"/>
    </row>
    <row r="52" spans="1:11" ht="14" customHeight="1" x14ac:dyDescent="0.15">
      <c r="A52" s="134" t="s">
        <v>341</v>
      </c>
      <c r="B52" s="134" t="s">
        <v>342</v>
      </c>
      <c r="C52" s="134" t="s">
        <v>343</v>
      </c>
      <c r="D52" s="134" t="s">
        <v>344</v>
      </c>
      <c r="F52" s="207"/>
    </row>
    <row r="53" spans="1:11" ht="14" customHeight="1" x14ac:dyDescent="0.15">
      <c r="A53" s="9" t="s">
        <v>338</v>
      </c>
      <c r="B53" s="284">
        <f>Z.ai!D38</f>
        <v>0.70601010459881319</v>
      </c>
      <c r="C53" s="284">
        <f>D43</f>
        <v>0.7439980103609396</v>
      </c>
      <c r="D53" s="233" t="s">
        <v>345</v>
      </c>
      <c r="F53" s="2"/>
    </row>
    <row r="54" spans="1:11" ht="14" customHeight="1" x14ac:dyDescent="0.15">
      <c r="A54" s="9" t="s">
        <v>346</v>
      </c>
      <c r="B54" s="284">
        <f>Z.ai!D39</f>
        <v>0.14757888638065514</v>
      </c>
      <c r="C54" s="284">
        <f>D44</f>
        <v>0.21378036713073939</v>
      </c>
      <c r="D54" s="233" t="s">
        <v>347</v>
      </c>
      <c r="F54" s="2"/>
    </row>
    <row r="55" spans="1:11" ht="14" customHeight="1" x14ac:dyDescent="0.2">
      <c r="A55" s="9" t="s">
        <v>339</v>
      </c>
      <c r="B55" s="284" t="s">
        <v>71</v>
      </c>
      <c r="C55" s="284">
        <f>D45</f>
        <v>2.4870488255308791E-2</v>
      </c>
      <c r="D55" s="233" t="s">
        <v>348</v>
      </c>
      <c r="F55" s="9"/>
    </row>
    <row r="56" spans="1:11" ht="14" customHeight="1" x14ac:dyDescent="0.2">
      <c r="A56" s="9" t="s">
        <v>349</v>
      </c>
      <c r="B56" s="284">
        <f>Z.ai!D40</f>
        <v>0.11797201102651136</v>
      </c>
      <c r="C56" s="284" t="s">
        <v>71</v>
      </c>
      <c r="D56" s="233" t="s">
        <v>350</v>
      </c>
      <c r="F56" s="9"/>
    </row>
    <row r="57" spans="1:11" ht="14" customHeight="1" x14ac:dyDescent="0.15">
      <c r="A57" s="9" t="s">
        <v>351</v>
      </c>
      <c r="B57" s="284">
        <f>Z.ai!D41</f>
        <v>2.8438997994020321E-2</v>
      </c>
      <c r="C57" s="284">
        <f>D46</f>
        <v>1.735113425301224E-2</v>
      </c>
      <c r="D57" s="233" t="s">
        <v>352</v>
      </c>
      <c r="F57" s="2"/>
    </row>
    <row r="58" spans="1:11" ht="14" customHeight="1" x14ac:dyDescent="0.15">
      <c r="A58" s="32"/>
      <c r="B58" s="32"/>
      <c r="C58" s="32"/>
      <c r="D58" s="32"/>
      <c r="E58" s="32"/>
      <c r="F58" s="120"/>
      <c r="G58" s="32"/>
      <c r="H58" s="32"/>
      <c r="I58" s="32"/>
      <c r="J58" s="32"/>
      <c r="K58" s="32"/>
    </row>
    <row r="59" spans="1:11" ht="14" customHeight="1" x14ac:dyDescent="0.15">
      <c r="A59" s="231"/>
      <c r="B59" s="32"/>
      <c r="C59" s="32"/>
      <c r="D59" s="32"/>
      <c r="E59" s="32"/>
      <c r="F59" s="120"/>
      <c r="G59" s="32"/>
      <c r="H59" s="32"/>
      <c r="I59" s="32"/>
      <c r="J59" s="32"/>
      <c r="K59" s="32"/>
    </row>
    <row r="60" spans="1:11" ht="14" customHeight="1" x14ac:dyDescent="0.15">
      <c r="A60" s="32"/>
      <c r="B60" s="32"/>
      <c r="C60" s="32"/>
      <c r="D60" s="32"/>
      <c r="E60" s="32"/>
      <c r="F60" s="120"/>
      <c r="G60" s="32"/>
      <c r="H60" s="32"/>
      <c r="I60" s="32"/>
      <c r="J60" s="32"/>
      <c r="K60" s="32"/>
    </row>
    <row r="61" spans="1:11" ht="14" customHeight="1" x14ac:dyDescent="0.15">
      <c r="A61" s="456" t="s">
        <v>677</v>
      </c>
      <c r="B61" s="456"/>
      <c r="C61" s="456"/>
      <c r="D61" s="456"/>
      <c r="E61" s="456"/>
      <c r="F61" s="457"/>
      <c r="G61" s="456"/>
      <c r="H61" s="456"/>
      <c r="I61" s="456"/>
      <c r="J61" s="32"/>
      <c r="K61" s="32"/>
    </row>
    <row r="62" spans="1:11" ht="14" customHeight="1" x14ac:dyDescent="0.15">
      <c r="A62" s="459" t="s">
        <v>273</v>
      </c>
      <c r="B62" s="459"/>
      <c r="C62" s="459"/>
      <c r="D62" s="459"/>
      <c r="E62" s="459"/>
      <c r="F62" s="460"/>
      <c r="G62" s="459"/>
      <c r="H62" s="459"/>
      <c r="I62" s="459"/>
      <c r="J62" s="32"/>
      <c r="K62" s="32"/>
    </row>
    <row r="63" spans="1:11" ht="14" customHeight="1" x14ac:dyDescent="0.15">
      <c r="A63" s="32" t="s">
        <v>274</v>
      </c>
      <c r="B63" s="254">
        <f>D8/1000000</f>
        <v>3.0523000000000002E-2</v>
      </c>
      <c r="C63" s="32"/>
      <c r="D63" s="32"/>
      <c r="E63" s="32"/>
      <c r="F63" s="120"/>
      <c r="G63" s="32"/>
      <c r="H63" s="32"/>
      <c r="I63" s="32"/>
      <c r="J63" s="32"/>
      <c r="K63" s="32"/>
    </row>
    <row r="64" spans="1:11" ht="14" customHeight="1" x14ac:dyDescent="0.15">
      <c r="A64" s="32" t="s">
        <v>275</v>
      </c>
      <c r="B64" s="61">
        <v>0.75900000000000001</v>
      </c>
      <c r="C64" s="32"/>
      <c r="D64" s="32"/>
      <c r="E64" s="32"/>
      <c r="F64" s="120"/>
      <c r="G64" s="32"/>
      <c r="H64" s="32"/>
      <c r="I64" s="32"/>
      <c r="J64" s="32"/>
      <c r="K64" s="32"/>
    </row>
    <row r="65" spans="1:11" ht="14" customHeight="1" x14ac:dyDescent="0.15">
      <c r="A65" s="32" t="s">
        <v>276</v>
      </c>
      <c r="B65" s="391">
        <f>D74/1000</f>
        <v>1.8520000000000001</v>
      </c>
      <c r="C65" s="32"/>
      <c r="D65" s="32"/>
      <c r="E65" s="32"/>
      <c r="F65" s="120"/>
      <c r="G65" s="32"/>
      <c r="H65" s="32"/>
      <c r="I65" s="32"/>
      <c r="J65" s="32"/>
      <c r="K65" s="32"/>
    </row>
    <row r="66" spans="1:11" ht="14" customHeight="1" x14ac:dyDescent="0.15">
      <c r="A66" s="12" t="s">
        <v>277</v>
      </c>
      <c r="B66" s="253">
        <f>IF(AND(ISNUMBER(B64),ISNUMBER(B63)),(B64/1000)/B63,"n/m")</f>
        <v>2.4866494119188808E-2</v>
      </c>
      <c r="C66" s="32"/>
      <c r="D66" s="32"/>
      <c r="E66" s="32"/>
      <c r="F66" s="120"/>
      <c r="G66" s="32"/>
      <c r="H66" s="32"/>
      <c r="I66" s="32"/>
      <c r="J66" s="32"/>
      <c r="K66" s="32"/>
    </row>
    <row r="67" spans="1:11" ht="14" customHeight="1" x14ac:dyDescent="0.15">
      <c r="A67" s="12" t="s">
        <v>698</v>
      </c>
      <c r="B67" s="478">
        <f>'Margin Model'!$B$38</f>
        <v>-3.3920799746600672E-2</v>
      </c>
      <c r="C67" s="32"/>
      <c r="D67" s="32"/>
      <c r="E67" s="32"/>
      <c r="F67" s="120"/>
      <c r="G67" s="32"/>
      <c r="H67" s="32"/>
      <c r="I67" s="32"/>
      <c r="J67" s="32"/>
      <c r="K67" s="32"/>
    </row>
    <row r="68" spans="1:11" ht="14" customHeight="1" x14ac:dyDescent="0.15">
      <c r="A68" s="32"/>
      <c r="B68" s="32"/>
      <c r="C68" s="32"/>
      <c r="D68" s="32"/>
      <c r="E68" s="32"/>
      <c r="F68" s="120"/>
      <c r="G68" s="32"/>
      <c r="H68" s="32"/>
      <c r="I68" s="32"/>
      <c r="J68" s="32"/>
      <c r="K68" s="32"/>
    </row>
    <row r="69" spans="1:11" ht="14" customHeight="1" x14ac:dyDescent="0.2">
      <c r="A69" s="461" t="s">
        <v>678</v>
      </c>
      <c r="B69" s="461"/>
      <c r="C69" s="461"/>
      <c r="D69" s="461"/>
      <c r="E69" s="461"/>
      <c r="F69" s="461"/>
      <c r="G69" s="461"/>
      <c r="H69" s="461"/>
      <c r="I69" s="461"/>
      <c r="J69" s="474"/>
      <c r="K69" s="474"/>
    </row>
    <row r="70" spans="1:11" ht="14" customHeight="1" x14ac:dyDescent="0.2">
      <c r="A70" s="409" t="s">
        <v>353</v>
      </c>
      <c r="F70" s="475"/>
    </row>
    <row r="71" spans="1:11" ht="14" customHeight="1" x14ac:dyDescent="0.15">
      <c r="A71" s="120"/>
      <c r="B71" s="120"/>
      <c r="C71" s="120"/>
      <c r="D71" s="120"/>
      <c r="E71" s="120"/>
      <c r="F71" s="120"/>
      <c r="G71" s="120"/>
      <c r="H71" s="120"/>
      <c r="I71" s="120"/>
      <c r="J71" s="120"/>
      <c r="K71" s="120"/>
    </row>
    <row r="72" spans="1:11" ht="14" customHeight="1" x14ac:dyDescent="0.15">
      <c r="A72" s="257" t="s">
        <v>88</v>
      </c>
      <c r="B72" s="270">
        <v>0</v>
      </c>
      <c r="C72" s="270">
        <v>3460</v>
      </c>
      <c r="D72" s="270">
        <v>30523</v>
      </c>
      <c r="E72" s="471"/>
      <c r="F72" s="270"/>
      <c r="G72" s="270">
        <v>19454</v>
      </c>
      <c r="H72" s="270">
        <v>53437</v>
      </c>
      <c r="I72" s="471"/>
      <c r="J72" s="120"/>
      <c r="K72" s="120"/>
    </row>
    <row r="73" spans="1:11" ht="14" customHeight="1" x14ac:dyDescent="0.15">
      <c r="A73" s="120" t="s">
        <v>280</v>
      </c>
      <c r="B73" s="206">
        <v>-13205</v>
      </c>
      <c r="C73" s="206">
        <v>-92420</v>
      </c>
      <c r="D73" s="206">
        <v>-250469</v>
      </c>
      <c r="E73" s="471"/>
      <c r="F73" s="206"/>
      <c r="G73" s="206">
        <v>-175877</v>
      </c>
      <c r="H73" s="206">
        <v>-198003</v>
      </c>
      <c r="I73" s="471"/>
      <c r="J73" s="120"/>
      <c r="K73" s="120"/>
    </row>
    <row r="74" spans="1:11" ht="14" customHeight="1" x14ac:dyDescent="0.15">
      <c r="A74" s="120" t="s">
        <v>281</v>
      </c>
      <c r="B74" s="206">
        <v>207</v>
      </c>
      <c r="C74" s="206">
        <v>773</v>
      </c>
      <c r="D74" s="206">
        <v>1852</v>
      </c>
      <c r="E74" s="471"/>
      <c r="F74" s="206"/>
      <c r="G74" s="206">
        <v>1397</v>
      </c>
      <c r="H74" s="206">
        <v>2060</v>
      </c>
      <c r="I74" s="471"/>
      <c r="J74" s="120"/>
      <c r="K74" s="120"/>
    </row>
    <row r="75" spans="1:11" ht="14" customHeight="1" x14ac:dyDescent="0.15">
      <c r="A75" s="120" t="s">
        <v>282</v>
      </c>
      <c r="B75" s="252" t="str">
        <f>IF(B72=0,"n.m.",B74/B72)</f>
        <v>n.m.</v>
      </c>
      <c r="C75" s="252">
        <f>IF(C72=0,"n.m.",C74/C72)</f>
        <v>0.22341040462427747</v>
      </c>
      <c r="D75" s="252">
        <f>IF(D72=0,"n.m.",D74/D72)</f>
        <v>6.0675556137994302E-2</v>
      </c>
      <c r="E75" s="471"/>
      <c r="F75" s="252"/>
      <c r="G75" s="252">
        <f>IF(G72=0,"n.m.",G74/G72)</f>
        <v>7.181042459134368E-2</v>
      </c>
      <c r="H75" s="252">
        <f>IF(H72=0,"n.m.",H74/H72)</f>
        <v>3.8550068304732676E-2</v>
      </c>
      <c r="I75" s="471"/>
      <c r="J75" s="120"/>
      <c r="K75" s="120"/>
    </row>
    <row r="76" spans="1:11" ht="14" customHeight="1" x14ac:dyDescent="0.15">
      <c r="A76" s="257" t="s">
        <v>283</v>
      </c>
      <c r="B76" s="271">
        <v>-11019</v>
      </c>
      <c r="C76" s="271">
        <v>-64455</v>
      </c>
      <c r="D76" s="271">
        <v>-258483</v>
      </c>
      <c r="E76" s="471"/>
      <c r="F76" s="271"/>
      <c r="G76" s="271">
        <v>-195596</v>
      </c>
      <c r="H76" s="271">
        <v>-209396</v>
      </c>
      <c r="I76" s="471"/>
      <c r="J76" s="120"/>
      <c r="K76" s="120"/>
    </row>
    <row r="77" spans="1:11" ht="14" customHeight="1" x14ac:dyDescent="0.15">
      <c r="A77" s="120" t="s">
        <v>284</v>
      </c>
      <c r="B77" s="252" t="str">
        <f>IF(B72=0,"n.m.",B76/B72)</f>
        <v>n.m.</v>
      </c>
      <c r="C77" s="252">
        <f>IF(C72=0,"n.m.",C76/C72)</f>
        <v>-18.628612716763005</v>
      </c>
      <c r="D77" s="252">
        <f>IF(D72=0,"n.m.",D76/D72)</f>
        <v>-8.4684664023850864</v>
      </c>
      <c r="E77" s="471"/>
      <c r="F77" s="252"/>
      <c r="G77" s="252">
        <f>IF(G72=0,"n.m.",G76/G72)</f>
        <v>-10.054281895754087</v>
      </c>
      <c r="H77" s="252">
        <f>IF(H72=0,"n.m.",H76/H72)</f>
        <v>-3.9185583022999046</v>
      </c>
      <c r="I77" s="471"/>
      <c r="J77" s="120"/>
      <c r="K77" s="120"/>
    </row>
    <row r="78" spans="1:11" ht="14" customHeight="1" x14ac:dyDescent="0.15">
      <c r="A78" s="120"/>
      <c r="B78" s="120"/>
      <c r="C78" s="120"/>
      <c r="D78" s="120"/>
      <c r="E78" s="471"/>
      <c r="F78" s="120"/>
      <c r="G78" s="120"/>
      <c r="H78" s="120"/>
      <c r="I78" s="471"/>
      <c r="J78" s="120"/>
      <c r="K78" s="120"/>
    </row>
    <row r="79" spans="1:11" ht="14" customHeight="1" x14ac:dyDescent="0.15">
      <c r="A79" s="266" t="s">
        <v>285</v>
      </c>
      <c r="B79" s="266"/>
      <c r="C79" s="266"/>
      <c r="D79" s="266"/>
      <c r="E79" s="472"/>
      <c r="F79" s="266"/>
      <c r="G79" s="266"/>
      <c r="H79" s="266"/>
      <c r="I79" s="472"/>
      <c r="J79" s="120"/>
      <c r="K79" s="120"/>
    </row>
    <row r="80" spans="1:11" ht="14" customHeight="1" x14ac:dyDescent="0.15">
      <c r="A80" s="120" t="s">
        <v>354</v>
      </c>
      <c r="B80" s="206">
        <v>0</v>
      </c>
      <c r="C80" s="206">
        <v>1338</v>
      </c>
      <c r="D80" s="206">
        <v>6982</v>
      </c>
      <c r="E80" s="471"/>
      <c r="F80" s="206"/>
      <c r="G80" s="61"/>
      <c r="H80" s="206">
        <v>8063</v>
      </c>
      <c r="I80" s="471"/>
      <c r="J80" s="120"/>
      <c r="K80" s="120"/>
    </row>
    <row r="81" spans="1:11" ht="14" customHeight="1" x14ac:dyDescent="0.15">
      <c r="A81" s="120" t="s">
        <v>355</v>
      </c>
      <c r="B81" s="206">
        <v>569</v>
      </c>
      <c r="C81" s="206">
        <v>4378</v>
      </c>
      <c r="D81" s="206">
        <v>13470</v>
      </c>
      <c r="E81" s="471"/>
      <c r="F81" s="206"/>
      <c r="G81" s="61"/>
      <c r="H81" s="206">
        <v>11811</v>
      </c>
      <c r="I81" s="471"/>
      <c r="J81" s="120"/>
      <c r="K81" s="120"/>
    </row>
    <row r="82" spans="1:11" ht="14" customHeight="1" x14ac:dyDescent="0.15">
      <c r="A82" s="263" t="s">
        <v>289</v>
      </c>
      <c r="B82" s="272">
        <f>SUM(B80:B81)</f>
        <v>569</v>
      </c>
      <c r="C82" s="272">
        <f>SUM(C80:C81)</f>
        <v>5716</v>
      </c>
      <c r="D82" s="272">
        <f>SUM(D80:D81)</f>
        <v>20452</v>
      </c>
      <c r="E82" s="471"/>
      <c r="F82" s="272"/>
      <c r="G82" s="273"/>
      <c r="H82" s="272">
        <f>SUM(H80:H81)</f>
        <v>19874</v>
      </c>
      <c r="I82" s="471"/>
      <c r="J82" s="120"/>
      <c r="K82" s="120"/>
    </row>
    <row r="83" spans="1:11" ht="14" customHeight="1" x14ac:dyDescent="0.15">
      <c r="A83" s="120" t="s">
        <v>356</v>
      </c>
      <c r="B83" s="206">
        <v>2394</v>
      </c>
      <c r="C83" s="206">
        <v>17242</v>
      </c>
      <c r="D83" s="206">
        <v>51212</v>
      </c>
      <c r="E83" s="471"/>
      <c r="F83" s="206"/>
      <c r="G83" s="61"/>
      <c r="H83" s="206">
        <v>70219</v>
      </c>
      <c r="I83" s="471"/>
      <c r="J83" s="120"/>
      <c r="K83" s="120"/>
    </row>
    <row r="84" spans="1:11" ht="14" customHeight="1" x14ac:dyDescent="0.15">
      <c r="A84" s="120" t="s">
        <v>357</v>
      </c>
      <c r="B84" s="206">
        <v>2326</v>
      </c>
      <c r="C84" s="206">
        <v>14741</v>
      </c>
      <c r="D84" s="206">
        <v>51512</v>
      </c>
      <c r="E84" s="471"/>
      <c r="F84" s="206"/>
      <c r="G84" s="61"/>
      <c r="H84" s="206">
        <v>17322</v>
      </c>
      <c r="I84" s="471"/>
      <c r="J84" s="120"/>
      <c r="K84" s="120"/>
    </row>
    <row r="85" spans="1:11" ht="14" customHeight="1" x14ac:dyDescent="0.15">
      <c r="A85" s="120" t="s">
        <v>291</v>
      </c>
      <c r="B85" s="206">
        <v>0</v>
      </c>
      <c r="C85" s="206">
        <v>559</v>
      </c>
      <c r="D85" s="206">
        <v>1553</v>
      </c>
      <c r="E85" s="471"/>
      <c r="F85" s="206"/>
      <c r="G85" s="61"/>
      <c r="H85" s="206">
        <v>4657</v>
      </c>
      <c r="I85" s="471"/>
      <c r="J85" s="120"/>
      <c r="K85" s="120"/>
    </row>
    <row r="86" spans="1:11" ht="14" customHeight="1" x14ac:dyDescent="0.15">
      <c r="A86" s="263" t="s">
        <v>292</v>
      </c>
      <c r="B86" s="272">
        <f>SUM(B83:B85)</f>
        <v>4720</v>
      </c>
      <c r="C86" s="272">
        <f>SUM(C83:C85)</f>
        <v>32542</v>
      </c>
      <c r="D86" s="272">
        <f>SUM(D83:D85)</f>
        <v>104277</v>
      </c>
      <c r="E86" s="471"/>
      <c r="F86" s="272"/>
      <c r="G86" s="273"/>
      <c r="H86" s="272">
        <f>SUM(H83:H85)</f>
        <v>92198</v>
      </c>
      <c r="I86" s="471"/>
      <c r="J86" s="120"/>
      <c r="K86" s="120"/>
    </row>
    <row r="87" spans="1:11" ht="14" customHeight="1" x14ac:dyDescent="0.15">
      <c r="A87" s="263" t="s">
        <v>293</v>
      </c>
      <c r="B87" s="272">
        <f>B82-B86</f>
        <v>-4151</v>
      </c>
      <c r="C87" s="272">
        <f>C82-C86</f>
        <v>-26826</v>
      </c>
      <c r="D87" s="272">
        <f>D82-D86</f>
        <v>-83825</v>
      </c>
      <c r="E87" s="471"/>
      <c r="F87" s="272"/>
      <c r="G87" s="273"/>
      <c r="H87" s="272">
        <f>H82-H86</f>
        <v>-72324</v>
      </c>
      <c r="I87" s="471"/>
      <c r="J87" s="120"/>
      <c r="K87" s="120"/>
    </row>
    <row r="88" spans="1:11" ht="14" customHeight="1" x14ac:dyDescent="0.15">
      <c r="A88" s="120" t="s">
        <v>294</v>
      </c>
      <c r="B88" s="206">
        <v>2221</v>
      </c>
      <c r="C88" s="206">
        <v>0</v>
      </c>
      <c r="D88" s="206">
        <v>27293</v>
      </c>
      <c r="E88" s="471"/>
      <c r="F88" s="206"/>
      <c r="G88" s="61"/>
      <c r="H88" s="206">
        <v>25097</v>
      </c>
      <c r="I88" s="471"/>
      <c r="J88" s="120"/>
      <c r="K88" s="120"/>
    </row>
    <row r="89" spans="1:11" ht="14" customHeight="1" x14ac:dyDescent="0.15">
      <c r="A89" s="263" t="s">
        <v>295</v>
      </c>
      <c r="B89" s="272">
        <f>B87+B88</f>
        <v>-1930</v>
      </c>
      <c r="C89" s="272">
        <f>C87+C88</f>
        <v>-26826</v>
      </c>
      <c r="D89" s="272">
        <f>D87+D88</f>
        <v>-56532</v>
      </c>
      <c r="E89" s="471"/>
      <c r="F89" s="272"/>
      <c r="G89" s="273"/>
      <c r="H89" s="272">
        <f>H87+H88</f>
        <v>-47227</v>
      </c>
      <c r="I89" s="471"/>
      <c r="J89" s="120"/>
      <c r="K89" s="120"/>
    </row>
    <row r="90" spans="1:11" ht="14" customHeight="1" x14ac:dyDescent="0.15">
      <c r="A90" s="263" t="s">
        <v>296</v>
      </c>
      <c r="B90" s="274">
        <v>-76972</v>
      </c>
      <c r="C90" s="274">
        <v>-343280</v>
      </c>
      <c r="D90" s="274">
        <v>-901997</v>
      </c>
      <c r="E90" s="471"/>
      <c r="F90" s="274"/>
      <c r="G90" s="275"/>
      <c r="H90" s="274">
        <v>-1382415</v>
      </c>
      <c r="I90" s="471"/>
      <c r="J90" s="120"/>
      <c r="K90" s="120"/>
    </row>
    <row r="91" spans="1:11" ht="14" customHeight="1" x14ac:dyDescent="0.15">
      <c r="A91" s="120"/>
      <c r="B91" s="120"/>
      <c r="C91" s="120"/>
      <c r="D91" s="120"/>
      <c r="E91" s="471"/>
      <c r="F91" s="120"/>
      <c r="G91" s="120"/>
      <c r="H91" s="120"/>
      <c r="I91" s="471"/>
      <c r="J91" s="120"/>
      <c r="K91" s="120"/>
    </row>
    <row r="92" spans="1:11" ht="14" customHeight="1" x14ac:dyDescent="0.15">
      <c r="A92" s="266" t="s">
        <v>297</v>
      </c>
      <c r="B92" s="266"/>
      <c r="C92" s="266"/>
      <c r="D92" s="266"/>
      <c r="E92" s="472"/>
      <c r="F92" s="266"/>
      <c r="G92" s="266"/>
      <c r="H92" s="266"/>
      <c r="I92" s="472"/>
      <c r="J92" s="120"/>
      <c r="K92" s="120"/>
    </row>
    <row r="93" spans="1:11" ht="14" customHeight="1" x14ac:dyDescent="0.15">
      <c r="A93" s="120" t="s">
        <v>298</v>
      </c>
      <c r="B93" s="205">
        <f>B72</f>
        <v>0</v>
      </c>
      <c r="C93" s="205">
        <f>C72</f>
        <v>3460</v>
      </c>
      <c r="D93" s="205">
        <f>D72</f>
        <v>30523</v>
      </c>
      <c r="E93" s="471"/>
      <c r="F93" s="205"/>
      <c r="G93" s="204"/>
      <c r="H93" s="205">
        <f>H72</f>
        <v>53437</v>
      </c>
      <c r="I93" s="471"/>
      <c r="J93" s="120"/>
      <c r="K93" s="120"/>
    </row>
    <row r="94" spans="1:11" ht="14" customHeight="1" x14ac:dyDescent="0.15">
      <c r="A94" s="120" t="s">
        <v>299</v>
      </c>
      <c r="B94" s="205">
        <f>B72*1</f>
        <v>0</v>
      </c>
      <c r="C94" s="205">
        <f>C72*1</f>
        <v>3460</v>
      </c>
      <c r="D94" s="205">
        <f>D72*1</f>
        <v>30523</v>
      </c>
      <c r="E94" s="471"/>
      <c r="F94" s="205"/>
      <c r="G94" s="204"/>
      <c r="H94" s="205">
        <f>H72*1.33333333333333</f>
        <v>71249.333333333154</v>
      </c>
      <c r="I94" s="471"/>
      <c r="J94" s="120"/>
      <c r="K94" s="120"/>
    </row>
    <row r="95" spans="1:11" ht="14" customHeight="1" x14ac:dyDescent="0.15">
      <c r="A95" s="120" t="s">
        <v>300</v>
      </c>
      <c r="B95" s="252" t="str">
        <f>IF(B93=0,"n.m.",B87/B93)</f>
        <v>n.m.</v>
      </c>
      <c r="C95" s="252">
        <f>IF(C93=0,"n.m.",C87/C93)</f>
        <v>-7.7531791907514451</v>
      </c>
      <c r="D95" s="252">
        <f>IF(D93=0,"n.m.",D87/D93)</f>
        <v>-2.7462896831897257</v>
      </c>
      <c r="E95" s="471"/>
      <c r="F95" s="252"/>
      <c r="G95" s="253"/>
      <c r="H95" s="252">
        <f>IF(H93=0,"n.m.",H87/H93)</f>
        <v>-1.3534442427531486</v>
      </c>
      <c r="I95" s="471"/>
      <c r="J95" s="120"/>
      <c r="K95" s="120"/>
    </row>
    <row r="96" spans="1:11" ht="14" customHeight="1" x14ac:dyDescent="0.15">
      <c r="A96" s="120" t="s">
        <v>301</v>
      </c>
      <c r="B96" s="252" t="str">
        <f>IF(B94=0,"n.m.",B87/B94)</f>
        <v>n.m.</v>
      </c>
      <c r="C96" s="252">
        <f>IF(C94=0,"n.m.",C87/C94)</f>
        <v>-7.7531791907514451</v>
      </c>
      <c r="D96" s="252">
        <f>IF(D94=0,"n.m.",D87/D94)</f>
        <v>-2.7462896831897257</v>
      </c>
      <c r="E96" s="471"/>
      <c r="F96" s="252"/>
      <c r="G96" s="253"/>
      <c r="H96" s="252">
        <f>IF(H94=0,"n.m.",H87/H94)</f>
        <v>-1.015083182064864</v>
      </c>
      <c r="I96" s="471"/>
      <c r="J96" s="120"/>
      <c r="K96" s="120"/>
    </row>
    <row r="97" spans="1:11" ht="14" customHeight="1" x14ac:dyDescent="0.15">
      <c r="A97" s="120"/>
      <c r="B97" s="120"/>
      <c r="C97" s="120"/>
      <c r="D97" s="120"/>
      <c r="E97" s="471"/>
      <c r="F97" s="120"/>
      <c r="G97" s="120"/>
      <c r="H97" s="120"/>
      <c r="I97" s="471"/>
      <c r="J97" s="120"/>
      <c r="K97" s="120"/>
    </row>
    <row r="98" spans="1:11" ht="14" customHeight="1" x14ac:dyDescent="0.15">
      <c r="A98" s="120"/>
      <c r="B98" s="120"/>
      <c r="C98" s="120"/>
      <c r="D98" s="120"/>
      <c r="E98" s="471"/>
      <c r="F98" s="120"/>
      <c r="G98" s="120"/>
      <c r="H98" s="120"/>
      <c r="I98" s="471"/>
      <c r="J98" s="120"/>
      <c r="K98" s="120"/>
    </row>
    <row r="99" spans="1:11" ht="14" customHeight="1" x14ac:dyDescent="0.15">
      <c r="A99" s="266" t="s">
        <v>302</v>
      </c>
      <c r="B99" s="266"/>
      <c r="C99" s="266"/>
      <c r="D99" s="266"/>
      <c r="E99" s="472"/>
      <c r="F99" s="266"/>
      <c r="G99" s="266"/>
      <c r="H99" s="266"/>
      <c r="I99" s="472"/>
      <c r="J99" s="120"/>
      <c r="K99" s="120"/>
    </row>
    <row r="100" spans="1:11" ht="14" customHeight="1" x14ac:dyDescent="0.15">
      <c r="A100" s="120" t="s">
        <v>358</v>
      </c>
      <c r="B100" s="206">
        <v>0</v>
      </c>
      <c r="C100" s="206">
        <v>-1341</v>
      </c>
      <c r="D100" s="206">
        <v>-5732</v>
      </c>
      <c r="E100" s="471"/>
      <c r="F100" s="206"/>
      <c r="G100" s="206">
        <v>-4230</v>
      </c>
      <c r="H100" s="206">
        <v>-1103</v>
      </c>
      <c r="I100" s="471"/>
      <c r="J100" s="120"/>
      <c r="K100" s="120"/>
    </row>
    <row r="101" spans="1:11" ht="14" customHeight="1" x14ac:dyDescent="0.15">
      <c r="A101" s="120" t="s">
        <v>359</v>
      </c>
      <c r="B101" s="206">
        <v>-513</v>
      </c>
      <c r="C101" s="206">
        <v>-4190</v>
      </c>
      <c r="D101" s="206">
        <v>-9272</v>
      </c>
      <c r="E101" s="471"/>
      <c r="F101" s="206"/>
      <c r="G101" s="206">
        <v>-11925</v>
      </c>
      <c r="H101" s="206">
        <v>1846</v>
      </c>
      <c r="I101" s="471"/>
      <c r="J101" s="120"/>
      <c r="K101" s="120"/>
    </row>
    <row r="102" spans="1:11" ht="14" customHeight="1" x14ac:dyDescent="0.15">
      <c r="A102" s="120" t="s">
        <v>360</v>
      </c>
      <c r="B102" s="206">
        <v>2394</v>
      </c>
      <c r="C102" s="206">
        <v>14848</v>
      </c>
      <c r="D102" s="206">
        <v>33970</v>
      </c>
      <c r="E102" s="471"/>
      <c r="F102" s="206"/>
      <c r="G102" s="206">
        <v>37949</v>
      </c>
      <c r="H102" s="206">
        <v>19007</v>
      </c>
      <c r="I102" s="471"/>
      <c r="J102" s="120"/>
      <c r="K102" s="120"/>
    </row>
    <row r="103" spans="1:11" ht="14" customHeight="1" x14ac:dyDescent="0.15">
      <c r="A103" s="120" t="s">
        <v>361</v>
      </c>
      <c r="B103" s="206">
        <v>2191</v>
      </c>
      <c r="C103" s="206">
        <v>12624</v>
      </c>
      <c r="D103" s="206">
        <v>21048</v>
      </c>
      <c r="E103" s="471"/>
      <c r="F103" s="206"/>
      <c r="G103" s="206">
        <v>4557</v>
      </c>
      <c r="H103" s="206">
        <v>-22865</v>
      </c>
      <c r="I103" s="471"/>
      <c r="J103" s="120"/>
      <c r="K103" s="120"/>
    </row>
    <row r="104" spans="1:11" ht="14" customHeight="1" x14ac:dyDescent="0.15">
      <c r="A104" s="120" t="s">
        <v>362</v>
      </c>
      <c r="B104" s="206">
        <v>0</v>
      </c>
      <c r="C104" s="206">
        <v>1218</v>
      </c>
      <c r="D104" s="206">
        <v>0</v>
      </c>
      <c r="E104" s="471"/>
      <c r="F104" s="206"/>
      <c r="G104" s="206">
        <v>0</v>
      </c>
      <c r="H104" s="206">
        <v>267</v>
      </c>
      <c r="I104" s="471"/>
      <c r="J104" s="120"/>
      <c r="K104" s="120"/>
    </row>
    <row r="105" spans="1:11" ht="14" customHeight="1" x14ac:dyDescent="0.15">
      <c r="A105" s="120" t="s">
        <v>308</v>
      </c>
      <c r="B105" s="206">
        <v>0</v>
      </c>
      <c r="C105" s="206">
        <v>559</v>
      </c>
      <c r="D105" s="206">
        <v>994</v>
      </c>
      <c r="E105" s="471"/>
      <c r="F105" s="206"/>
      <c r="G105" s="206">
        <v>481</v>
      </c>
      <c r="H105" s="206">
        <v>3104</v>
      </c>
      <c r="I105" s="471"/>
      <c r="J105" s="120"/>
      <c r="K105" s="120"/>
    </row>
    <row r="106" spans="1:11" ht="14" customHeight="1" x14ac:dyDescent="0.15">
      <c r="A106" s="120" t="s">
        <v>363</v>
      </c>
      <c r="B106" s="206">
        <v>-2221</v>
      </c>
      <c r="C106" s="206">
        <v>2182</v>
      </c>
      <c r="D106" s="206">
        <v>-27292</v>
      </c>
      <c r="E106" s="471"/>
      <c r="F106" s="206"/>
      <c r="G106" s="206">
        <v>-35347</v>
      </c>
      <c r="H106" s="206">
        <v>2193</v>
      </c>
      <c r="I106" s="471"/>
      <c r="J106" s="120"/>
      <c r="K106" s="120"/>
    </row>
    <row r="107" spans="1:11" ht="14" customHeight="1" x14ac:dyDescent="0.15">
      <c r="A107" s="263" t="s">
        <v>310</v>
      </c>
      <c r="B107" s="272">
        <f>SUM(B100:B106)</f>
        <v>1851</v>
      </c>
      <c r="C107" s="272">
        <f>SUM(C100:C106)</f>
        <v>25900</v>
      </c>
      <c r="D107" s="272">
        <f>SUM(D100:D106)</f>
        <v>13716</v>
      </c>
      <c r="E107" s="471"/>
      <c r="F107" s="272"/>
      <c r="G107" s="272">
        <f>SUM(G100:G106)</f>
        <v>-8515</v>
      </c>
      <c r="H107" s="272">
        <f>SUM(H100:H106)</f>
        <v>2449</v>
      </c>
      <c r="I107" s="471"/>
      <c r="J107" s="120"/>
      <c r="K107" s="120"/>
    </row>
    <row r="108" spans="1:11" ht="14" customHeight="1" x14ac:dyDescent="0.15">
      <c r="F108" s="2"/>
    </row>
  </sheetData>
  <hyperlinks>
    <hyperlink ref="A1" r:id="rId1" display="https://www1.hkexnews.hk/listedco/listconews/sehk/2025/1231/2025123100025.pdf" xr:uid="{00000000-0004-0000-0300-000000000000}"/>
  </hyperlink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M85"/>
  <sheetViews>
    <sheetView showGridLines="0" zoomScale="105" zoomScaleNormal="105" workbookViewId="0">
      <pane xSplit="1" ySplit="1" topLeftCell="B52" activePane="bottomRight" state="frozen"/>
      <selection activeCell="B52" sqref="B52"/>
      <selection pane="topRight" activeCell="B52" sqref="B52"/>
      <selection pane="bottomLeft" activeCell="B52" sqref="B52"/>
      <selection pane="bottomRight" activeCell="C76" sqref="C76"/>
    </sheetView>
  </sheetViews>
  <sheetFormatPr baseColWidth="10" defaultRowHeight="14" x14ac:dyDescent="0.2"/>
  <cols>
    <col min="1" max="1" width="40" style="9" customWidth="1"/>
    <col min="2" max="7" width="12.5" style="9" customWidth="1"/>
    <col min="8" max="9" width="13.33203125" style="9" customWidth="1"/>
    <col min="10" max="13" width="10.83203125" style="9" customWidth="1"/>
    <col min="14" max="14" width="4.5" style="9" customWidth="1"/>
    <col min="15" max="15" width="8.5" style="9" customWidth="1"/>
    <col min="16" max="16" width="9.6640625" style="9" customWidth="1"/>
    <col min="17" max="17" width="8" style="9" customWidth="1"/>
    <col min="18" max="18" width="13.33203125" style="9" customWidth="1"/>
    <col min="19" max="21" width="10.83203125" style="9" customWidth="1"/>
    <col min="22" max="16384" width="10.83203125" style="9"/>
  </cols>
  <sheetData>
    <row r="1" spans="1:9" ht="19" customHeight="1" x14ac:dyDescent="0.2">
      <c r="A1" s="8" t="s">
        <v>364</v>
      </c>
    </row>
    <row r="3" spans="1:9" x14ac:dyDescent="0.2">
      <c r="A3" s="26" t="s">
        <v>365</v>
      </c>
      <c r="B3" s="27"/>
      <c r="C3" s="27"/>
    </row>
    <row r="4" spans="1:9" x14ac:dyDescent="0.2">
      <c r="A4" s="9" t="s">
        <v>366</v>
      </c>
      <c r="B4" s="28">
        <v>3</v>
      </c>
    </row>
    <row r="5" spans="1:9" x14ac:dyDescent="0.2">
      <c r="A5" s="9" t="s">
        <v>367</v>
      </c>
      <c r="B5" s="29">
        <v>8</v>
      </c>
    </row>
    <row r="6" spans="1:9" ht="14" customHeight="1" x14ac:dyDescent="0.2">
      <c r="A6" s="30" t="s">
        <v>368</v>
      </c>
      <c r="B6" s="31">
        <f>B4*B5</f>
        <v>24</v>
      </c>
    </row>
    <row r="7" spans="1:9" ht="14" customHeight="1" x14ac:dyDescent="0.2">
      <c r="A7" s="32" t="s">
        <v>369</v>
      </c>
      <c r="B7" s="29">
        <v>1024</v>
      </c>
    </row>
    <row r="8" spans="1:9" x14ac:dyDescent="0.2">
      <c r="A8" s="9" t="s">
        <v>370</v>
      </c>
      <c r="B8" s="33">
        <v>8192</v>
      </c>
    </row>
    <row r="9" spans="1:9" x14ac:dyDescent="0.2">
      <c r="A9" s="9" t="s">
        <v>371</v>
      </c>
      <c r="B9" s="34">
        <v>2</v>
      </c>
    </row>
    <row r="11" spans="1:9" x14ac:dyDescent="0.2">
      <c r="A11" s="35" t="s">
        <v>372</v>
      </c>
      <c r="B11" s="36" t="s">
        <v>373</v>
      </c>
      <c r="C11" s="36" t="s">
        <v>374</v>
      </c>
    </row>
    <row r="12" spans="1:9" x14ac:dyDescent="0.2">
      <c r="A12" s="9" t="s">
        <v>375</v>
      </c>
      <c r="B12" s="28">
        <v>1.4</v>
      </c>
      <c r="C12" s="28">
        <v>4.4000000000000004</v>
      </c>
    </row>
    <row r="13" spans="1:9" x14ac:dyDescent="0.2">
      <c r="A13" s="9" t="s">
        <v>376</v>
      </c>
      <c r="B13" s="28">
        <v>5</v>
      </c>
      <c r="C13" s="28">
        <v>30</v>
      </c>
    </row>
    <row r="14" spans="1:9" x14ac:dyDescent="0.2">
      <c r="A14" s="9" t="s">
        <v>377</v>
      </c>
      <c r="B14" s="28">
        <v>5</v>
      </c>
      <c r="C14" s="28">
        <v>25</v>
      </c>
    </row>
    <row r="16" spans="1:9" x14ac:dyDescent="0.2">
      <c r="A16" s="26" t="s">
        <v>378</v>
      </c>
      <c r="B16" s="27"/>
      <c r="C16" s="27"/>
      <c r="D16" s="27"/>
      <c r="E16" s="27"/>
      <c r="F16" s="27"/>
      <c r="G16" s="27"/>
      <c r="H16" s="27"/>
      <c r="I16" s="27"/>
    </row>
    <row r="17" spans="1:13" ht="30" customHeight="1" x14ac:dyDescent="0.2">
      <c r="A17" s="139" t="s">
        <v>379</v>
      </c>
      <c r="B17" s="139" t="s">
        <v>380</v>
      </c>
      <c r="C17" s="139" t="s">
        <v>381</v>
      </c>
      <c r="D17" s="139" t="s">
        <v>382</v>
      </c>
      <c r="E17" s="139" t="s">
        <v>383</v>
      </c>
      <c r="F17" s="139" t="s">
        <v>384</v>
      </c>
    </row>
    <row r="18" spans="1:13" x14ac:dyDescent="0.2">
      <c r="A18" s="38">
        <f>'GLM-5.2 Combined'!B41</f>
        <v>1</v>
      </c>
      <c r="B18" s="39">
        <f>'GLM-5.2 Combined'!C41</f>
        <v>0.33400000000000002</v>
      </c>
      <c r="C18" s="38">
        <f>'GLM-5.2 Combined'!D41</f>
        <v>435</v>
      </c>
      <c r="D18" s="39">
        <f>'GLM-5.2 Combined'!J41</f>
        <v>0.375</v>
      </c>
      <c r="E18" s="40">
        <f>'GLM-5.2 Combined'!O41</f>
        <v>0.26976306855070481</v>
      </c>
      <c r="F18" s="40">
        <f>'GLM-5.2 Combined'!P41</f>
        <v>15.203006562705472</v>
      </c>
    </row>
    <row r="19" spans="1:13" x14ac:dyDescent="0.2">
      <c r="A19" s="41">
        <f>'GLM-5.2 Combined'!B42</f>
        <v>16</v>
      </c>
      <c r="B19" s="42">
        <f>'GLM-5.2 Combined'!C42</f>
        <v>2.7770000000000001</v>
      </c>
      <c r="C19" s="41">
        <f>'GLM-5.2 Combined'!D42</f>
        <v>146</v>
      </c>
      <c r="D19" s="42">
        <f>'GLM-5.2 Combined'!J42</f>
        <v>1.6328125</v>
      </c>
      <c r="E19" s="43">
        <f>'GLM-5.2 Combined'!O42</f>
        <v>0.14160278903154008</v>
      </c>
      <c r="F19" s="43">
        <f>'GLM-5.2 Combined'!P42</f>
        <v>2.8544185170937721</v>
      </c>
    </row>
    <row r="20" spans="1:13" x14ac:dyDescent="0.2">
      <c r="A20" s="44">
        <f>'GLM-5.2 Combined'!B43</f>
        <v>64</v>
      </c>
      <c r="B20" s="45">
        <f>'GLM-5.2 Combined'!C43</f>
        <v>5.68</v>
      </c>
      <c r="C20" s="44">
        <f>'GLM-5.2 Combined'!D43</f>
        <v>53</v>
      </c>
      <c r="D20" s="45">
        <f>'GLM-5.2 Combined'!J43</f>
        <v>2.2265625</v>
      </c>
      <c r="E20" s="46">
        <f>'GLM-5.2 Combined'!O43</f>
        <v>8.3470038446158634E-2</v>
      </c>
      <c r="F20" s="46">
        <f>'GLM-5.2 Combined'!P43</f>
        <v>2.2562163006178655</v>
      </c>
    </row>
    <row r="21" spans="1:13" x14ac:dyDescent="0.2">
      <c r="A21" s="41">
        <f>'GLM-5.2 Combined'!B44</f>
        <v>256</v>
      </c>
      <c r="B21" s="42">
        <f>'GLM-5.2 Combined'!C44</f>
        <v>60.664999999999999</v>
      </c>
      <c r="C21" s="41">
        <f>'GLM-5.2 Combined'!D44</f>
        <v>42</v>
      </c>
      <c r="D21" s="42">
        <f>'GLM-5.2 Combined'!J44</f>
        <v>2.3203125</v>
      </c>
      <c r="E21" s="43">
        <f>'GLM-5.2 Combined'!O44</f>
        <v>0.24995035147564298</v>
      </c>
      <c r="F21" s="43">
        <f>'GLM-5.2 Combined'!P44</f>
        <v>0.80623332736432862</v>
      </c>
    </row>
    <row r="22" spans="1:13" x14ac:dyDescent="0.2">
      <c r="A22" s="41">
        <f>'GLM-5.2 Combined'!B45</f>
        <v>1024</v>
      </c>
      <c r="B22" s="42">
        <f>'GLM-5.2 Combined'!C45</f>
        <v>178.249</v>
      </c>
      <c r="C22" s="41">
        <f>'GLM-5.2 Combined'!D45</f>
        <v>21</v>
      </c>
      <c r="D22" s="42">
        <f>'GLM-5.2 Combined'!J45</f>
        <v>3.5078125</v>
      </c>
      <c r="E22" s="43">
        <f>'GLM-5.2 Combined'!O45</f>
        <v>0.18166113340704454</v>
      </c>
      <c r="F22" s="43">
        <f>'GLM-5.2 Combined'!P45</f>
        <v>0.40268717624772676</v>
      </c>
    </row>
    <row r="24" spans="1:13" x14ac:dyDescent="0.2">
      <c r="A24" s="26" t="s">
        <v>385</v>
      </c>
      <c r="B24" s="27"/>
      <c r="C24" s="27"/>
      <c r="D24" s="27"/>
      <c r="E24" s="27"/>
      <c r="F24" s="27"/>
      <c r="G24" s="27"/>
    </row>
    <row r="25" spans="1:13" x14ac:dyDescent="0.2">
      <c r="A25" s="10" t="s">
        <v>386</v>
      </c>
    </row>
    <row r="26" spans="1:13" x14ac:dyDescent="0.2">
      <c r="A26" s="47" t="s">
        <v>387</v>
      </c>
      <c r="B26" s="48" t="s">
        <v>388</v>
      </c>
      <c r="C26" s="48" t="s">
        <v>389</v>
      </c>
      <c r="D26" s="48" t="s">
        <v>390</v>
      </c>
      <c r="E26" s="48" t="s">
        <v>391</v>
      </c>
      <c r="F26" s="48" t="s">
        <v>392</v>
      </c>
      <c r="G26" s="48" t="s">
        <v>393</v>
      </c>
      <c r="H26" s="37" t="s">
        <v>394</v>
      </c>
    </row>
    <row r="27" spans="1:13" ht="15" customHeight="1" x14ac:dyDescent="0.2">
      <c r="A27" s="9" t="s">
        <v>375</v>
      </c>
      <c r="B27" s="49">
        <f>B12</f>
        <v>1.4</v>
      </c>
      <c r="C27" s="49">
        <f>C12</f>
        <v>4.4000000000000004</v>
      </c>
      <c r="D27" s="50">
        <f>$E$20*1</f>
        <v>8.3470038446158634E-2</v>
      </c>
      <c r="E27" s="50">
        <f>$F$20*1</f>
        <v>2.2562163006178655</v>
      </c>
      <c r="F27" s="51">
        <f>(B27-D27)/B27</f>
        <v>0.94037854396702958</v>
      </c>
      <c r="G27" s="51">
        <f>(C27-E27)/C27</f>
        <v>0.48722356804139427</v>
      </c>
      <c r="H27" s="57">
        <f>1-(D27*$B$8+E27*$B$7)/(B27*$B$8+C27*$B$7)</f>
        <v>0.81256560203928618</v>
      </c>
      <c r="J27" s="53"/>
      <c r="K27" s="53"/>
      <c r="L27" s="53"/>
      <c r="M27" s="52"/>
    </row>
    <row r="28" spans="1:13" x14ac:dyDescent="0.2">
      <c r="A28" s="9" t="s">
        <v>376</v>
      </c>
      <c r="B28" s="49">
        <f>B13</f>
        <v>5</v>
      </c>
      <c r="C28" s="49">
        <f>C13</f>
        <v>30</v>
      </c>
      <c r="D28" s="50">
        <f>$E$20*$B$9</f>
        <v>0.16694007689231727</v>
      </c>
      <c r="E28" s="50">
        <f>$F$20*$B$9</f>
        <v>4.512432601235731</v>
      </c>
      <c r="F28" s="51">
        <f>(B28-D28)/B28</f>
        <v>0.96661198462153664</v>
      </c>
      <c r="G28" s="51">
        <f>(C28-E28)/C28</f>
        <v>0.84958557995880901</v>
      </c>
      <c r="H28" s="57">
        <f>1-(D28*$B$8+E28*$B$7)/(B28*$B$8+C28*$B$7)</f>
        <v>0.9164578111946533</v>
      </c>
    </row>
    <row r="29" spans="1:13" x14ac:dyDescent="0.2">
      <c r="A29" s="9" t="s">
        <v>377</v>
      </c>
      <c r="B29" s="49">
        <f>IF(B14="","",B14)</f>
        <v>5</v>
      </c>
      <c r="C29" s="49">
        <f>IF(C14="","",C14)</f>
        <v>25</v>
      </c>
      <c r="D29" s="50">
        <f>$E$20*$B$9</f>
        <v>0.16694007689231727</v>
      </c>
      <c r="E29" s="50">
        <f>$F$20*$B$9</f>
        <v>4.512432601235731</v>
      </c>
      <c r="F29" s="51">
        <f>IF(B29="","",IFERROR((B29-D29)/B29,""))</f>
        <v>0.96661198462153664</v>
      </c>
      <c r="G29" s="51">
        <f>IF(C29="","",IFERROR((C29-E29)/C29,""))</f>
        <v>0.81950269595057079</v>
      </c>
      <c r="H29" s="57">
        <f>IF(C29="","",1-(D29*$B$8+E29*$B$7)/(B29*$B$8+C29*$B$7))</f>
        <v>0.91003148897885744</v>
      </c>
    </row>
    <row r="31" spans="1:13" ht="16" x14ac:dyDescent="0.2">
      <c r="A31" s="26" t="s">
        <v>690</v>
      </c>
      <c r="B31" s="455"/>
      <c r="C31" s="455"/>
      <c r="D31" s="455"/>
      <c r="E31" s="455"/>
      <c r="F31" s="455"/>
      <c r="G31" s="455"/>
      <c r="H31" s="455"/>
    </row>
    <row r="32" spans="1:13" ht="16" x14ac:dyDescent="0.2">
      <c r="A32" s="9" t="s">
        <v>691</v>
      </c>
      <c r="B32" s="479">
        <v>7</v>
      </c>
      <c r="C32"/>
      <c r="D32"/>
      <c r="E32"/>
      <c r="F32"/>
      <c r="G32"/>
      <c r="H32"/>
    </row>
    <row r="33" spans="1:12" ht="16" x14ac:dyDescent="0.2">
      <c r="A33" s="9" t="s">
        <v>692</v>
      </c>
      <c r="B33" s="480">
        <v>2</v>
      </c>
      <c r="C33"/>
      <c r="D33"/>
      <c r="E33"/>
      <c r="F33"/>
      <c r="G33"/>
      <c r="H33"/>
    </row>
    <row r="34" spans="1:12" ht="16" x14ac:dyDescent="0.2">
      <c r="A34" s="9" t="s">
        <v>693</v>
      </c>
      <c r="B34" s="481">
        <f>B32*B33</f>
        <v>14</v>
      </c>
      <c r="C34"/>
      <c r="D34"/>
      <c r="E34"/>
      <c r="F34"/>
      <c r="G34"/>
      <c r="H34"/>
    </row>
    <row r="35" spans="1:12" ht="16" x14ac:dyDescent="0.2">
      <c r="A35" s="9" t="s">
        <v>694</v>
      </c>
      <c r="B35" s="480">
        <v>2493.41</v>
      </c>
      <c r="C35" s="476">
        <v>2521.66</v>
      </c>
      <c r="D35"/>
      <c r="E35"/>
      <c r="F35"/>
      <c r="G35"/>
      <c r="H35"/>
    </row>
    <row r="36" spans="1:12" ht="16" x14ac:dyDescent="0.2">
      <c r="A36" s="9" t="s">
        <v>695</v>
      </c>
      <c r="B36" s="482">
        <f>B34/((B35+C35)*3600/1000000)</f>
        <v>0.7754405998099505</v>
      </c>
      <c r="C36"/>
      <c r="D36"/>
      <c r="E36"/>
      <c r="F36"/>
      <c r="G36"/>
      <c r="H36"/>
    </row>
    <row r="37" spans="1:12" ht="16" x14ac:dyDescent="0.2">
      <c r="A37" s="9" t="s">
        <v>696</v>
      </c>
      <c r="B37" s="479">
        <v>0.3</v>
      </c>
      <c r="C37" s="477">
        <v>1.2</v>
      </c>
      <c r="D37"/>
      <c r="E37"/>
      <c r="F37"/>
      <c r="G37"/>
      <c r="H37"/>
    </row>
    <row r="38" spans="1:12" ht="16" x14ac:dyDescent="0.2">
      <c r="A38" s="24" t="s">
        <v>697</v>
      </c>
      <c r="B38" s="483">
        <f>1-B36/((B37+C37)/2)</f>
        <v>-3.3920799746600672E-2</v>
      </c>
      <c r="C38"/>
      <c r="D38"/>
      <c r="E38"/>
      <c r="F38"/>
      <c r="G38"/>
      <c r="H38"/>
    </row>
    <row r="39" spans="1:12" ht="16" x14ac:dyDescent="0.2">
      <c r="A39"/>
      <c r="B39"/>
      <c r="C39"/>
      <c r="D39"/>
      <c r="E39"/>
      <c r="F39"/>
      <c r="G39"/>
      <c r="H39"/>
    </row>
    <row r="40" spans="1:12" x14ac:dyDescent="0.2">
      <c r="A40" s="26" t="s">
        <v>395</v>
      </c>
      <c r="B40" s="27"/>
      <c r="C40" s="27"/>
      <c r="D40" s="27"/>
      <c r="E40" s="27"/>
    </row>
    <row r="41" spans="1:12" x14ac:dyDescent="0.2">
      <c r="A41" s="10" t="s">
        <v>396</v>
      </c>
    </row>
    <row r="42" spans="1:12" x14ac:dyDescent="0.2">
      <c r="A42" s="54" t="str">
        <f>"GPT-5.5: output GM ranges "&amp;TEXT(MIN(C46:E48),"0.0%")&amp;" to "&amp;TEXT(MAX(C46:E48),"0.0%")&amp;" — positive in every scenario."</f>
        <v>GPT-5.5: output GM ranges 54.9% to 92.5% — positive in every scenario.</v>
      </c>
    </row>
    <row r="43" spans="1:12" x14ac:dyDescent="0.2">
      <c r="A43" s="8" t="s">
        <v>397</v>
      </c>
      <c r="L43" s="7"/>
    </row>
    <row r="44" spans="1:12" x14ac:dyDescent="0.2">
      <c r="A44" s="8"/>
      <c r="L44" s="7"/>
    </row>
    <row r="45" spans="1:12" x14ac:dyDescent="0.2">
      <c r="B45" s="37" t="s">
        <v>398</v>
      </c>
      <c r="C45" s="55">
        <v>1.5</v>
      </c>
      <c r="D45" s="55">
        <v>2</v>
      </c>
      <c r="E45" s="55">
        <v>3</v>
      </c>
    </row>
    <row r="46" spans="1:12" ht="15" customHeight="1" thickBot="1" x14ac:dyDescent="0.25">
      <c r="B46" s="56">
        <v>2</v>
      </c>
      <c r="C46" s="57">
        <f t="shared" ref="C46:E48" si="0">($C$13-$F$20*($B46/$B$4)*C$45)/$C$13</f>
        <v>0.92479278997940451</v>
      </c>
      <c r="D46" s="57">
        <f t="shared" si="0"/>
        <v>0.8997237199725393</v>
      </c>
      <c r="E46" s="57">
        <f t="shared" si="0"/>
        <v>0.84958557995880901</v>
      </c>
    </row>
    <row r="47" spans="1:12" ht="16" customHeight="1" thickTop="1" thickBot="1" x14ac:dyDescent="0.25">
      <c r="B47" s="56">
        <v>3</v>
      </c>
      <c r="C47" s="57">
        <f t="shared" si="0"/>
        <v>0.8871891849691067</v>
      </c>
      <c r="D47" s="58">
        <f t="shared" si="0"/>
        <v>0.84958557995880901</v>
      </c>
      <c r="E47" s="57">
        <f t="shared" si="0"/>
        <v>0.77437836993821352</v>
      </c>
    </row>
    <row r="48" spans="1:12" ht="15" customHeight="1" thickTop="1" x14ac:dyDescent="0.2">
      <c r="B48" s="56">
        <v>6</v>
      </c>
      <c r="C48" s="57">
        <f t="shared" si="0"/>
        <v>0.77437836993821352</v>
      </c>
      <c r="D48" s="57">
        <f t="shared" si="0"/>
        <v>0.69917115991761802</v>
      </c>
      <c r="E48" s="57">
        <f t="shared" si="0"/>
        <v>0.54875673987642692</v>
      </c>
    </row>
    <row r="50" spans="1:5" x14ac:dyDescent="0.2">
      <c r="A50" s="54" t="str">
        <f>IF($C$14="","Opus 4.8: enter an output price in C13 to populate this grid.","Opus 4.8: output GM ranges "&amp;TEXT(MIN(C53:E55),"0.0%")&amp;" to "&amp;TEXT(MAX(C53:E55),"0.0%")&amp;".")</f>
        <v>Opus 4.8: output GM ranges 45.9% to 91.0%.</v>
      </c>
    </row>
    <row r="51" spans="1:5" x14ac:dyDescent="0.2">
      <c r="A51" s="8" t="s">
        <v>399</v>
      </c>
    </row>
    <row r="52" spans="1:5" x14ac:dyDescent="0.2">
      <c r="B52" s="37" t="s">
        <v>398</v>
      </c>
      <c r="C52" s="55">
        <v>1.5</v>
      </c>
      <c r="D52" s="55">
        <v>2</v>
      </c>
      <c r="E52" s="55">
        <v>3</v>
      </c>
    </row>
    <row r="53" spans="1:5" ht="15" customHeight="1" thickBot="1" x14ac:dyDescent="0.25">
      <c r="B53" s="56">
        <v>2</v>
      </c>
      <c r="C53" s="57">
        <f t="shared" ref="C53:E55" si="1">IF($C$14="","",($C$14-$F$20*($B53/$B$4)*C$52)/$C$14)</f>
        <v>0.90975134797528545</v>
      </c>
      <c r="D53" s="57">
        <f t="shared" si="1"/>
        <v>0.87966846396704712</v>
      </c>
      <c r="E53" s="57">
        <f t="shared" si="1"/>
        <v>0.81950269595057079</v>
      </c>
    </row>
    <row r="54" spans="1:5" ht="16" customHeight="1" thickTop="1" thickBot="1" x14ac:dyDescent="0.25">
      <c r="B54" s="56">
        <v>3</v>
      </c>
      <c r="C54" s="57">
        <f t="shared" si="1"/>
        <v>0.86462702196292807</v>
      </c>
      <c r="D54" s="58">
        <f t="shared" si="1"/>
        <v>0.81950269595057079</v>
      </c>
      <c r="E54" s="57">
        <f t="shared" si="1"/>
        <v>0.72925404392585624</v>
      </c>
    </row>
    <row r="55" spans="1:5" ht="15" customHeight="1" thickTop="1" x14ac:dyDescent="0.2">
      <c r="B55" s="56">
        <v>6</v>
      </c>
      <c r="C55" s="57">
        <f t="shared" si="1"/>
        <v>0.72925404392585624</v>
      </c>
      <c r="D55" s="57">
        <f t="shared" si="1"/>
        <v>0.63900539190114147</v>
      </c>
      <c r="E55" s="57">
        <f t="shared" si="1"/>
        <v>0.45850808785171226</v>
      </c>
    </row>
    <row r="57" spans="1:5" x14ac:dyDescent="0.2">
      <c r="A57" s="26" t="s">
        <v>400</v>
      </c>
      <c r="B57" s="27"/>
      <c r="C57" s="27"/>
      <c r="D57" s="27"/>
      <c r="E57" s="27"/>
    </row>
    <row r="58" spans="1:5" x14ac:dyDescent="0.2">
      <c r="A58" s="10" t="s">
        <v>401</v>
      </c>
    </row>
    <row r="59" spans="1:5" x14ac:dyDescent="0.2">
      <c r="B59" s="37" t="s">
        <v>402</v>
      </c>
      <c r="C59" s="37" t="str">
        <f>A27</f>
        <v>GLM-5.2</v>
      </c>
      <c r="D59" s="37" t="str">
        <f>A28</f>
        <v>GPT-5.5</v>
      </c>
      <c r="E59" s="37" t="str">
        <f>A29</f>
        <v>Opus 4.8</v>
      </c>
    </row>
    <row r="60" spans="1:5" x14ac:dyDescent="0.2">
      <c r="B60" s="140">
        <v>0.3</v>
      </c>
      <c r="C60" s="57">
        <f t="array" ref="C60">IFERROR((INDEX($C$27:$C$29,COLUMN()-2)*(1+$B60)-INDEX($E$27:$E$29,COLUMN()-2))/(INDEX($C$27:$C$29,COLUMN()-2)*(1+$B60)),"")</f>
        <v>0.60555659080107249</v>
      </c>
      <c r="D60" s="57">
        <f t="array" ref="D60">IFERROR((INDEX($C$27:$C$29,COLUMN()-2)*(1+$B60)-INDEX($E$27:$E$29,COLUMN()-2))/(INDEX($C$27:$C$29,COLUMN()-2)*(1+$B60)),"")</f>
        <v>0.88429659996831467</v>
      </c>
      <c r="E60" s="57">
        <f t="array" ref="E60">IFERROR((INDEX($C$27:$C$29,COLUMN()-2)*(1+$B60)-INDEX($E$27:$E$29,COLUMN()-2))/(INDEX($C$27:$C$29,COLUMN()-2)*(1+$B60)),"")</f>
        <v>0.86115591996197749</v>
      </c>
    </row>
    <row r="61" spans="1:5" x14ac:dyDescent="0.2">
      <c r="B61" s="140">
        <v>0.2</v>
      </c>
      <c r="C61" s="57">
        <f t="array" ref="C61">IFERROR((INDEX($C$27:$C$29,COLUMN()-2)*(1+$B61)-INDEX($E$27:$E$29,COLUMN()-2))/(INDEX($C$27:$C$29,COLUMN()-2)*(1+$B61)),"")</f>
        <v>0.57268630670116183</v>
      </c>
      <c r="D61" s="57">
        <f t="array" ref="D61">IFERROR((INDEX($C$27:$C$29,COLUMN()-2)*(1+$B61)-INDEX($E$27:$E$29,COLUMN()-2))/(INDEX($C$27:$C$29,COLUMN()-2)*(1+$B61)),"")</f>
        <v>0.87465464996567421</v>
      </c>
      <c r="E61" s="57">
        <f t="array" ref="E61">IFERROR((INDEX($C$27:$C$29,COLUMN()-2)*(1+$B61)-INDEX($E$27:$E$29,COLUMN()-2))/(INDEX($C$27:$C$29,COLUMN()-2)*(1+$B61)),"")</f>
        <v>0.84958557995880901</v>
      </c>
    </row>
    <row r="62" spans="1:5" ht="15" customHeight="1" thickBot="1" x14ac:dyDescent="0.25">
      <c r="B62" s="140">
        <v>0.1</v>
      </c>
      <c r="C62" s="57">
        <f t="array" ref="C62">IFERROR((INDEX($C$27:$C$29,COLUMN()-2)*(1+$B62)-INDEX($E$27:$E$29,COLUMN()-2))/(INDEX($C$27:$C$29,COLUMN()-2)*(1+$B62)),"")</f>
        <v>0.5338396073103584</v>
      </c>
      <c r="D62" s="57">
        <f t="array" ref="D62">IFERROR((INDEX($C$27:$C$29,COLUMN()-2)*(1+$B62)-INDEX($E$27:$E$29,COLUMN()-2))/(INDEX($C$27:$C$29,COLUMN()-2)*(1+$B62)),"")</f>
        <v>0.8632596181443718</v>
      </c>
      <c r="E62" s="57">
        <f t="array" ref="E62">IFERROR((INDEX($C$27:$C$29,COLUMN()-2)*(1+$B62)-INDEX($E$27:$E$29,COLUMN()-2))/(INDEX($C$27:$C$29,COLUMN()-2)*(1+$B62)),"")</f>
        <v>0.83591154177324622</v>
      </c>
    </row>
    <row r="63" spans="1:5" ht="16" customHeight="1" thickTop="1" thickBot="1" x14ac:dyDescent="0.25">
      <c r="B63" s="142">
        <v>0</v>
      </c>
      <c r="C63" s="141">
        <f t="array" ref="C63">IFERROR((INDEX($C$27:$C$29,COLUMN()-2)*(1+$B63)-INDEX($E$27:$E$29,COLUMN()-2))/(INDEX($C$27:$C$29,COLUMN()-2)*(1+$B63)),"")</f>
        <v>0.48722356804139427</v>
      </c>
      <c r="D63" s="141">
        <f t="array" ref="D63">IFERROR((INDEX($C$27:$C$29,COLUMN()-2)*(1+$B63)-INDEX($E$27:$E$29,COLUMN()-2))/(INDEX($C$27:$C$29,COLUMN()-2)*(1+$B63)),"")</f>
        <v>0.84958557995880901</v>
      </c>
      <c r="E63" s="143">
        <f t="array" ref="E63">IFERROR((INDEX($C$27:$C$29,COLUMN()-2)*(1+$B63)-INDEX($E$27:$E$29,COLUMN()-2))/(INDEX($C$27:$C$29,COLUMN()-2)*(1+$B63)),"")</f>
        <v>0.81950269595057079</v>
      </c>
    </row>
    <row r="64" spans="1:5" ht="15" customHeight="1" thickTop="1" x14ac:dyDescent="0.2">
      <c r="B64" s="140">
        <v>-0.1</v>
      </c>
      <c r="C64" s="57">
        <f t="array" ref="C64">IFERROR((INDEX($C$27:$C$29,COLUMN()-2)*(1+$B64)-INDEX($E$27:$E$29,COLUMN()-2))/(INDEX($C$27:$C$29,COLUMN()-2)*(1+$B64)),"")</f>
        <v>0.43024840893488253</v>
      </c>
      <c r="D64" s="57">
        <f t="array" ref="D64">IFERROR((INDEX($C$27:$C$29,COLUMN()-2)*(1+$B64)-INDEX($E$27:$E$29,COLUMN()-2))/(INDEX($C$27:$C$29,COLUMN()-2)*(1+$B64)),"")</f>
        <v>0.83287286662089888</v>
      </c>
      <c r="E64" s="57">
        <f t="array" ref="E64">IFERROR((INDEX($C$27:$C$29,COLUMN()-2)*(1+$B64)-INDEX($E$27:$E$29,COLUMN()-2))/(INDEX($C$27:$C$29,COLUMN()-2)*(1+$B64)),"")</f>
        <v>0.79944743994507861</v>
      </c>
    </row>
    <row r="65" spans="1:8" x14ac:dyDescent="0.2">
      <c r="B65" s="140">
        <v>-0.2</v>
      </c>
      <c r="C65" s="57">
        <f t="array" ref="C65">IFERROR((INDEX($C$27:$C$29,COLUMN()-2)*(1+$B65)-INDEX($E$27:$E$29,COLUMN()-2))/(INDEX($C$27:$C$29,COLUMN()-2)*(1+$B65)),"")</f>
        <v>0.35902946005174285</v>
      </c>
      <c r="D65" s="57">
        <f t="array" ref="D65">IFERROR((INDEX($C$27:$C$29,COLUMN()-2)*(1+$B65)-INDEX($E$27:$E$29,COLUMN()-2))/(INDEX($C$27:$C$29,COLUMN()-2)*(1+$B65)),"")</f>
        <v>0.81198197494851121</v>
      </c>
      <c r="E65" s="57">
        <f t="array" ref="E65">IFERROR((INDEX($C$27:$C$29,COLUMN()-2)*(1+$B65)-INDEX($E$27:$E$29,COLUMN()-2))/(INDEX($C$27:$C$29,COLUMN()-2)*(1+$B65)),"")</f>
        <v>0.77437836993821352</v>
      </c>
    </row>
    <row r="66" spans="1:8" x14ac:dyDescent="0.2">
      <c r="B66" s="140">
        <v>-0.3</v>
      </c>
      <c r="C66" s="57">
        <f t="array" ref="C66">IFERROR((INDEX($C$27:$C$29,COLUMN()-2)*(1+$B66)-INDEX($E$27:$E$29,COLUMN()-2))/(INDEX($C$27:$C$29,COLUMN()-2)*(1+$B66)),"")</f>
        <v>0.2674622400591346</v>
      </c>
      <c r="D66" s="57">
        <f t="array" ref="D66">IFERROR((INDEX($C$27:$C$29,COLUMN()-2)*(1+$B66)-INDEX($E$27:$E$29,COLUMN()-2))/(INDEX($C$27:$C$29,COLUMN()-2)*(1+$B66)),"")</f>
        <v>0.78512225708401284</v>
      </c>
      <c r="E66" s="57">
        <f t="array" ref="E66">IFERROR((INDEX($C$27:$C$29,COLUMN()-2)*(1+$B66)-INDEX($E$27:$E$29,COLUMN()-2))/(INDEX($C$27:$C$29,COLUMN()-2)*(1+$B66)),"")</f>
        <v>0.74214670850081543</v>
      </c>
    </row>
    <row r="67" spans="1:8" x14ac:dyDescent="0.2">
      <c r="A67" s="10" t="s">
        <v>403</v>
      </c>
    </row>
    <row r="69" spans="1:8" x14ac:dyDescent="0.2">
      <c r="A69" s="26" t="s">
        <v>699</v>
      </c>
      <c r="B69" s="27"/>
      <c r="C69" s="27"/>
      <c r="D69" s="27"/>
      <c r="E69" s="27"/>
      <c r="F69" s="27"/>
      <c r="G69" s="27"/>
      <c r="H69" s="27"/>
    </row>
    <row r="70" spans="1:8" x14ac:dyDescent="0.2">
      <c r="A70" s="10" t="s">
        <v>700</v>
      </c>
    </row>
    <row r="71" spans="1:8" x14ac:dyDescent="0.2">
      <c r="A71" s="9" t="s">
        <v>701</v>
      </c>
      <c r="B71" s="485">
        <v>-1.5</v>
      </c>
    </row>
    <row r="72" spans="1:8" x14ac:dyDescent="0.2">
      <c r="B72" s="37" t="s">
        <v>402</v>
      </c>
      <c r="C72" s="37" t="str">
        <f>A27</f>
        <v>GLM-5.2</v>
      </c>
      <c r="D72" s="37" t="str">
        <f>A28</f>
        <v>GPT-5.5</v>
      </c>
      <c r="E72" s="37" t="str">
        <f>A29</f>
        <v>Opus 4.8</v>
      </c>
    </row>
    <row r="73" spans="1:8" x14ac:dyDescent="0.2">
      <c r="A73" s="68" t="s">
        <v>702</v>
      </c>
      <c r="C73" s="486">
        <f>(B27*$B$8+C27*$B$7)/($B$8+$B$7)</f>
        <v>1.7333333333333334</v>
      </c>
      <c r="D73" s="486">
        <f>(B28*$B$8+C28*$B$7)/($B$8+$B$7)</f>
        <v>7.7777777777777777</v>
      </c>
      <c r="E73" s="486">
        <f>(B29*$B$8+C29*$B$7)/($B$8+$B$7)</f>
        <v>7.2222222222222223</v>
      </c>
    </row>
    <row r="74" spans="1:8" x14ac:dyDescent="0.2">
      <c r="A74" s="68" t="s">
        <v>703</v>
      </c>
      <c r="C74" s="486">
        <f>(D27*$B$8+E27*$B$7)/($B$8+$B$7)</f>
        <v>0.32488628979857048</v>
      </c>
      <c r="D74" s="486">
        <f>(D28*$B$8+E28*$B$7)/($B$8+$B$7)</f>
        <v>0.64977257959714096</v>
      </c>
      <c r="E74" s="486">
        <f>(D29*$B$8+E29*$B$7)/($B$8+$B$7)</f>
        <v>0.64977257959714096</v>
      </c>
    </row>
    <row r="76" spans="1:8" x14ac:dyDescent="0.2">
      <c r="B76" s="140">
        <v>0.3</v>
      </c>
      <c r="C76" s="487">
        <f>IFERROR((C$73*(1+$B76)-C$74)*(1+$B76)^$B$71/(C$73-C$74)*100,"")</f>
        <v>92.374513972949373</v>
      </c>
      <c r="D76" s="487">
        <f t="shared" ref="D76:E84" si="2">IFERROR((D$73*(1+$B76)-D$74)*(1+$B76)^$B$71/(D$73-D$74)*100,"")</f>
        <v>89.550815644973369</v>
      </c>
      <c r="E76" s="487">
        <f t="shared" si="2"/>
        <v>89.70677083288254</v>
      </c>
    </row>
    <row r="77" spans="1:8" x14ac:dyDescent="0.2">
      <c r="B77" s="140">
        <v>0.2</v>
      </c>
      <c r="C77" s="487">
        <f t="shared" ref="C77:E84" si="3">IFERROR((C$73*(1+$B77)-C$74)*(1+$B77)^$B$71/(C$73-C$74)*100,"")</f>
        <v>94.796623155176391</v>
      </c>
      <c r="D77" s="487">
        <f t="shared" si="2"/>
        <v>92.674013198863577</v>
      </c>
      <c r="E77" s="487">
        <f t="shared" si="2"/>
        <v>92.791246697681387</v>
      </c>
    </row>
    <row r="78" spans="1:8" ht="15" thickBot="1" x14ac:dyDescent="0.25">
      <c r="B78" s="140">
        <v>0.1</v>
      </c>
      <c r="C78" s="487">
        <f t="shared" si="3"/>
        <v>97.34566880655187</v>
      </c>
      <c r="D78" s="487">
        <f t="shared" si="2"/>
        <v>96.136399464250616</v>
      </c>
      <c r="E78" s="487">
        <f t="shared" si="2"/>
        <v>96.203188407546321</v>
      </c>
    </row>
    <row r="79" spans="1:8" ht="16" thickTop="1" thickBot="1" x14ac:dyDescent="0.25">
      <c r="B79" s="142">
        <v>0</v>
      </c>
      <c r="C79" s="488">
        <f t="shared" si="3"/>
        <v>100</v>
      </c>
      <c r="D79" s="488">
        <f t="shared" si="2"/>
        <v>100</v>
      </c>
      <c r="E79" s="489">
        <f t="shared" si="2"/>
        <v>100</v>
      </c>
    </row>
    <row r="80" spans="1:8" ht="15" thickTop="1" x14ac:dyDescent="0.2">
      <c r="B80" s="140">
        <v>-0.1</v>
      </c>
      <c r="C80" s="487">
        <f t="shared" si="3"/>
        <v>102.70761770236518</v>
      </c>
      <c r="D80" s="487">
        <f t="shared" si="2"/>
        <v>104.3416036085809</v>
      </c>
      <c r="E80" s="487">
        <f t="shared" si="2"/>
        <v>104.25135721911354</v>
      </c>
    </row>
    <row r="81" spans="1:5" x14ac:dyDescent="0.2">
      <c r="B81" s="140">
        <v>-0.2</v>
      </c>
      <c r="C81" s="487">
        <f t="shared" si="3"/>
        <v>105.35598013565858</v>
      </c>
      <c r="D81" s="487">
        <f t="shared" si="2"/>
        <v>109.25546362259684</v>
      </c>
      <c r="E81" s="487">
        <f t="shared" si="2"/>
        <v>109.04009193294826</v>
      </c>
    </row>
    <row r="82" spans="1:5" x14ac:dyDescent="0.2">
      <c r="B82" s="140">
        <v>-0.3</v>
      </c>
      <c r="C82" s="487">
        <f t="shared" si="3"/>
        <v>107.70700854896155</v>
      </c>
      <c r="D82" s="487">
        <f t="shared" si="2"/>
        <v>114.853391174352</v>
      </c>
      <c r="E82" s="487">
        <f t="shared" si="2"/>
        <v>114.45869056693536</v>
      </c>
    </row>
    <row r="83" spans="1:5" x14ac:dyDescent="0.2">
      <c r="B83" s="140">
        <v>-0.4</v>
      </c>
      <c r="C83" s="487">
        <f t="shared" si="3"/>
        <v>109.24654383501556</v>
      </c>
      <c r="D83" s="487">
        <f t="shared" si="2"/>
        <v>121.25383898639852</v>
      </c>
      <c r="E83" s="487">
        <f t="shared" si="2"/>
        <v>120.59066617042811</v>
      </c>
    </row>
    <row r="84" spans="1:5" x14ac:dyDescent="0.2">
      <c r="B84" s="140">
        <v>-0.5</v>
      </c>
      <c r="C84" s="487">
        <f t="shared" si="3"/>
        <v>108.79971104509012</v>
      </c>
      <c r="D84" s="487">
        <f t="shared" si="2"/>
        <v>128.52971027219468</v>
      </c>
      <c r="E84" s="487">
        <f t="shared" si="2"/>
        <v>127.44000613970104</v>
      </c>
    </row>
    <row r="85" spans="1:5" x14ac:dyDescent="0.2">
      <c r="A85" s="54" t="str">
        <f>"Read: at ε = "&amp;TEXT($B$71,"0.0")&amp;", GP$ index peaks at "&amp;TEXT(MAX(C76:C84),"0")&amp;" (GLM-5.2), "&amp;TEXT(MAX(D76:D84),"0")&amp;" (GPT-5.5), "&amp;TEXT(MAX(E76:E84),"0")&amp;" (Opus 4.8) — base = 100."</f>
        <v>Read: at ε = -1.5, GP$ index peaks at 109 (GLM-5.2), 129 (GPT-5.5), 127 (Opus 4.8) — base = 100.</v>
      </c>
    </row>
  </sheetData>
  <conditionalFormatting sqref="C46:E48">
    <cfRule type="colorScale" priority="2">
      <colorScale>
        <cfvo type="min"/>
        <cfvo type="percent" val="50"/>
        <cfvo type="max"/>
        <color rgb="FFF8696B"/>
        <color rgb="FFFFEB84"/>
        <color rgb="FF63BE7B"/>
      </colorScale>
    </cfRule>
  </conditionalFormatting>
  <conditionalFormatting sqref="C53:E55">
    <cfRule type="colorScale" priority="3">
      <colorScale>
        <cfvo type="min"/>
        <cfvo type="percent" val="50"/>
        <cfvo type="max"/>
        <color rgb="FFF8696B"/>
        <color rgb="FFFFEB84"/>
        <color rgb="FF63BE7B"/>
      </colorScale>
    </cfRule>
  </conditionalFormatting>
  <conditionalFormatting sqref="C60:E6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/>
  </sheetPr>
  <dimension ref="A1"/>
  <sheetViews>
    <sheetView showGridLines="0" topLeftCell="XFD1" workbookViewId="0"/>
  </sheetViews>
  <sheetFormatPr baseColWidth="10" defaultColWidth="0" defaultRowHeight="14" x14ac:dyDescent="0.15"/>
  <cols>
    <col min="1" max="1" width="13" style="2" hidden="1" customWidth="1"/>
    <col min="2" max="4" width="10.83203125" style="2" hidden="1" customWidth="1"/>
    <col min="5" max="16384" width="10.83203125" style="2" hidden="1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/>
  </sheetPr>
  <dimension ref="A1:P97"/>
  <sheetViews>
    <sheetView showGridLines="0" topLeftCell="A55" workbookViewId="0">
      <selection activeCell="B94" sqref="B94"/>
    </sheetView>
  </sheetViews>
  <sheetFormatPr baseColWidth="10" defaultRowHeight="14" x14ac:dyDescent="0.15"/>
  <cols>
    <col min="1" max="1" width="24.5" style="2" customWidth="1"/>
    <col min="2" max="2" width="16.83203125" style="2" customWidth="1"/>
    <col min="3" max="3" width="16.33203125" style="2" customWidth="1"/>
    <col min="4" max="4" width="16.1640625" style="2" customWidth="1"/>
    <col min="5" max="5" width="15.83203125" style="2" customWidth="1"/>
    <col min="6" max="6" width="14.6640625" style="2" customWidth="1"/>
    <col min="7" max="7" width="15.6640625" style="2" customWidth="1"/>
    <col min="8" max="8" width="13.1640625" style="2" customWidth="1"/>
    <col min="9" max="9" width="13" style="2" customWidth="1"/>
    <col min="10" max="10" width="11.83203125" style="2" customWidth="1"/>
    <col min="11" max="11" width="9.1640625" style="2" customWidth="1"/>
    <col min="12" max="12" width="12.33203125" style="2" customWidth="1"/>
    <col min="13" max="13" width="13.5" style="2" customWidth="1"/>
    <col min="14" max="14" width="10.6640625" style="2" customWidth="1"/>
    <col min="15" max="15" width="14" style="2" customWidth="1"/>
    <col min="16" max="16" width="13.83203125" style="2" customWidth="1"/>
    <col min="17" max="19" width="10.83203125" style="2" customWidth="1"/>
    <col min="20" max="16384" width="10.83203125" style="2"/>
  </cols>
  <sheetData>
    <row r="1" spans="1:16" ht="20" customHeight="1" x14ac:dyDescent="0.2">
      <c r="A1" s="97" t="s">
        <v>404</v>
      </c>
    </row>
    <row r="2" spans="1:16" x14ac:dyDescent="0.15">
      <c r="A2" s="3" t="s">
        <v>405</v>
      </c>
    </row>
    <row r="3" spans="1:16" ht="20" customHeight="1" x14ac:dyDescent="0.2">
      <c r="A3" s="98" t="s">
        <v>406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</row>
    <row r="4" spans="1:16" x14ac:dyDescent="0.15">
      <c r="A4" s="121" t="s">
        <v>407</v>
      </c>
      <c r="B4" s="120" t="s">
        <v>408</v>
      </c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</row>
    <row r="5" spans="1:16" x14ac:dyDescent="0.15">
      <c r="A5" s="121" t="s">
        <v>409</v>
      </c>
      <c r="B5" s="120" t="s">
        <v>410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</row>
    <row r="6" spans="1:16" x14ac:dyDescent="0.15">
      <c r="A6" s="121" t="s">
        <v>411</v>
      </c>
      <c r="B6" s="120" t="s">
        <v>412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16" x14ac:dyDescent="0.15">
      <c r="A7" s="121" t="s">
        <v>413</v>
      </c>
      <c r="B7" s="120" t="s">
        <v>414</v>
      </c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</row>
    <row r="8" spans="1:16" x14ac:dyDescent="0.15">
      <c r="A8" s="121" t="s">
        <v>415</v>
      </c>
      <c r="B8" s="120" t="s">
        <v>416</v>
      </c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</row>
    <row r="9" spans="1:16" x14ac:dyDescent="0.15">
      <c r="A9" s="121" t="s">
        <v>417</v>
      </c>
      <c r="B9" s="120" t="s">
        <v>418</v>
      </c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</row>
    <row r="10" spans="1:16" x14ac:dyDescent="0.15">
      <c r="A10" s="121" t="s">
        <v>419</v>
      </c>
      <c r="B10" s="120" t="s">
        <v>420</v>
      </c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</row>
    <row r="11" spans="1:16" x14ac:dyDescent="0.15">
      <c r="A11" s="121" t="s">
        <v>421</v>
      </c>
      <c r="B11" s="120" t="s">
        <v>422</v>
      </c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</row>
    <row r="12" spans="1:16" x14ac:dyDescent="0.15">
      <c r="A12" s="121" t="s">
        <v>423</v>
      </c>
      <c r="B12" s="120" t="s">
        <v>424</v>
      </c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</row>
    <row r="13" spans="1:16" x14ac:dyDescent="0.15">
      <c r="A13" s="121" t="s">
        <v>425</v>
      </c>
      <c r="B13" s="120" t="s">
        <v>426</v>
      </c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</row>
    <row r="14" spans="1:16" x14ac:dyDescent="0.15">
      <c r="A14" s="121" t="s">
        <v>427</v>
      </c>
      <c r="B14" s="120" t="s">
        <v>428</v>
      </c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</row>
    <row r="15" spans="1:16" x14ac:dyDescent="0.15">
      <c r="A15" s="121" t="s">
        <v>429</v>
      </c>
      <c r="B15" s="120" t="s">
        <v>430</v>
      </c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</row>
    <row r="16" spans="1:16" x14ac:dyDescent="0.15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</row>
    <row r="17" spans="1:16" ht="16" customHeight="1" x14ac:dyDescent="0.2">
      <c r="A17" s="98" t="s">
        <v>431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</row>
    <row r="18" spans="1:16" x14ac:dyDescent="0.15">
      <c r="A18" s="392" t="s">
        <v>432</v>
      </c>
      <c r="B18" s="393"/>
      <c r="C18" s="393"/>
      <c r="D18" s="393"/>
      <c r="E18" s="393"/>
      <c r="F18" s="393"/>
    </row>
    <row r="19" spans="1:16" ht="68" customHeight="1" x14ac:dyDescent="0.15">
      <c r="A19" s="75" t="s">
        <v>433</v>
      </c>
      <c r="B19" s="243" t="s">
        <v>434</v>
      </c>
      <c r="C19" s="244"/>
      <c r="D19" s="244"/>
      <c r="E19" s="74"/>
      <c r="F19" s="74"/>
    </row>
    <row r="20" spans="1:16" ht="116" customHeight="1" x14ac:dyDescent="0.15">
      <c r="A20" s="75" t="s">
        <v>435</v>
      </c>
      <c r="B20" s="245" t="s">
        <v>436</v>
      </c>
      <c r="C20" s="244"/>
      <c r="D20" s="244"/>
      <c r="E20" s="74"/>
      <c r="F20" s="74"/>
    </row>
    <row r="21" spans="1:16" ht="50" customHeight="1" x14ac:dyDescent="0.15">
      <c r="A21" s="75" t="s">
        <v>437</v>
      </c>
      <c r="B21" s="245" t="s">
        <v>438</v>
      </c>
      <c r="C21" s="244"/>
      <c r="D21" s="244"/>
      <c r="E21" s="74"/>
      <c r="F21" s="74"/>
    </row>
    <row r="22" spans="1:16" ht="87" customHeight="1" x14ac:dyDescent="0.15">
      <c r="A22" s="75" t="s">
        <v>439</v>
      </c>
      <c r="B22" s="245" t="s">
        <v>440</v>
      </c>
      <c r="C22" s="244"/>
      <c r="D22" s="244"/>
      <c r="E22" s="74"/>
      <c r="F22" s="74"/>
    </row>
    <row r="23" spans="1:16" ht="49" customHeight="1" x14ac:dyDescent="0.15">
      <c r="A23" s="75" t="s">
        <v>279</v>
      </c>
      <c r="B23" s="245" t="s">
        <v>441</v>
      </c>
      <c r="C23" s="244"/>
      <c r="D23" s="244"/>
      <c r="E23" s="74"/>
      <c r="F23" s="74"/>
    </row>
    <row r="24" spans="1:16" ht="49" customHeight="1" x14ac:dyDescent="0.15">
      <c r="A24" s="118"/>
      <c r="B24" s="119"/>
      <c r="C24" s="74"/>
      <c r="D24" s="74"/>
      <c r="E24" s="74"/>
      <c r="F24" s="74"/>
    </row>
    <row r="25" spans="1:16" ht="45" customHeight="1" x14ac:dyDescent="0.15">
      <c r="A25" s="104" t="s">
        <v>442</v>
      </c>
      <c r="B25" s="104" t="s">
        <v>411</v>
      </c>
      <c r="C25" s="104" t="s">
        <v>443</v>
      </c>
      <c r="D25" s="104" t="s">
        <v>444</v>
      </c>
      <c r="E25" s="104" t="s">
        <v>445</v>
      </c>
      <c r="F25" s="104" t="s">
        <v>446</v>
      </c>
    </row>
    <row r="26" spans="1:16" ht="15" customHeight="1" x14ac:dyDescent="0.15">
      <c r="A26" s="99">
        <f>B41</f>
        <v>1</v>
      </c>
      <c r="B26" s="100" t="str">
        <f>IF(C41&gt;=100,TEXT(C41,"0""s"""),TEXT(C41,"0.0""s"""))</f>
        <v>0.3s</v>
      </c>
      <c r="C26" s="101">
        <f>D41</f>
        <v>435</v>
      </c>
      <c r="D26" s="102">
        <f>J41</f>
        <v>0.375</v>
      </c>
      <c r="E26" s="103">
        <f t="shared" ref="E26:F30" si="0">O41</f>
        <v>0.26976306855070481</v>
      </c>
      <c r="F26" s="103">
        <f t="shared" si="0"/>
        <v>15.203006562705472</v>
      </c>
    </row>
    <row r="27" spans="1:16" x14ac:dyDescent="0.15">
      <c r="A27" s="77">
        <f>B42</f>
        <v>16</v>
      </c>
      <c r="B27" s="78" t="str">
        <f>IF(C42&gt;=100,TEXT(C42,"0""s"""),TEXT(C42,"0.0""s"""))</f>
        <v>2.8s</v>
      </c>
      <c r="C27" s="79">
        <f>D42</f>
        <v>146</v>
      </c>
      <c r="D27" s="80">
        <f>J42</f>
        <v>1.6328125</v>
      </c>
      <c r="E27" s="81">
        <f t="shared" si="0"/>
        <v>0.14160278903154008</v>
      </c>
      <c r="F27" s="81">
        <f t="shared" si="0"/>
        <v>2.8544185170937721</v>
      </c>
    </row>
    <row r="28" spans="1:16" x14ac:dyDescent="0.15">
      <c r="A28" s="77">
        <f>B43</f>
        <v>64</v>
      </c>
      <c r="B28" s="78" t="str">
        <f>IF(C43&gt;=100,TEXT(C43,"0""s"""),TEXT(C43,"0.0""s"""))</f>
        <v>5.7s</v>
      </c>
      <c r="C28" s="79">
        <f>D43</f>
        <v>53</v>
      </c>
      <c r="D28" s="80">
        <f>J43</f>
        <v>2.2265625</v>
      </c>
      <c r="E28" s="81">
        <f t="shared" si="0"/>
        <v>8.3470038446158634E-2</v>
      </c>
      <c r="F28" s="81">
        <f t="shared" si="0"/>
        <v>2.2562163006178655</v>
      </c>
    </row>
    <row r="29" spans="1:16" x14ac:dyDescent="0.15">
      <c r="A29" s="77">
        <f>B44</f>
        <v>256</v>
      </c>
      <c r="B29" s="78" t="str">
        <f>IF(C44&gt;=100,TEXT(C44,"0""s"""),TEXT(C44,"0.0""s"""))</f>
        <v>60.7s</v>
      </c>
      <c r="C29" s="79">
        <f>D44</f>
        <v>42</v>
      </c>
      <c r="D29" s="80">
        <f>J44</f>
        <v>2.3203125</v>
      </c>
      <c r="E29" s="81">
        <f t="shared" si="0"/>
        <v>0.24995035147564298</v>
      </c>
      <c r="F29" s="81">
        <f t="shared" si="0"/>
        <v>0.80623332736432862</v>
      </c>
    </row>
    <row r="30" spans="1:16" x14ac:dyDescent="0.15">
      <c r="A30" s="77">
        <f>B45</f>
        <v>1024</v>
      </c>
      <c r="B30" s="78" t="str">
        <f>IF(C45&gt;=100,TEXT(C45,"0""s"""),TEXT(C45,"0.0""s"""))</f>
        <v>178s</v>
      </c>
      <c r="C30" s="79">
        <f>D45</f>
        <v>21</v>
      </c>
      <c r="D30" s="80">
        <f>J45</f>
        <v>3.5078125</v>
      </c>
      <c r="E30" s="81">
        <f t="shared" si="0"/>
        <v>0.18166113340704454</v>
      </c>
      <c r="F30" s="81">
        <f t="shared" si="0"/>
        <v>0.40268717624772676</v>
      </c>
    </row>
    <row r="31" spans="1:16" x14ac:dyDescent="0.15">
      <c r="A31" s="82"/>
      <c r="B31" s="83"/>
      <c r="C31" s="84"/>
      <c r="D31" s="84"/>
      <c r="E31" s="85"/>
      <c r="F31" s="85"/>
    </row>
    <row r="32" spans="1:16" x14ac:dyDescent="0.15">
      <c r="A32" s="74"/>
      <c r="B32" s="74"/>
      <c r="C32" s="74"/>
      <c r="D32" s="74"/>
      <c r="E32" s="74"/>
      <c r="F32" s="74"/>
    </row>
    <row r="33" spans="1:16" x14ac:dyDescent="0.15">
      <c r="A33" s="86" t="s">
        <v>447</v>
      </c>
      <c r="B33" s="86"/>
      <c r="C33" s="74"/>
      <c r="D33" s="74"/>
      <c r="E33" s="74"/>
      <c r="F33" s="74"/>
    </row>
    <row r="34" spans="1:16" x14ac:dyDescent="0.15">
      <c r="A34" s="76" t="s">
        <v>448</v>
      </c>
      <c r="B34" s="76" t="s">
        <v>449</v>
      </c>
      <c r="C34" s="74"/>
      <c r="D34" s="74"/>
      <c r="E34" s="74"/>
      <c r="F34" s="74"/>
    </row>
    <row r="35" spans="1:16" x14ac:dyDescent="0.15">
      <c r="A35" s="76" t="s">
        <v>450</v>
      </c>
      <c r="B35" s="76" t="s">
        <v>451</v>
      </c>
      <c r="C35" s="74"/>
      <c r="D35" s="74"/>
      <c r="E35" s="74"/>
      <c r="F35" s="74"/>
    </row>
    <row r="36" spans="1:16" x14ac:dyDescent="0.15">
      <c r="A36" s="76" t="s">
        <v>452</v>
      </c>
      <c r="B36" s="76" t="s">
        <v>453</v>
      </c>
      <c r="C36" s="74"/>
      <c r="D36" s="74"/>
      <c r="E36" s="74"/>
      <c r="F36" s="74"/>
    </row>
    <row r="37" spans="1:16" x14ac:dyDescent="0.15">
      <c r="A37" s="76" t="s">
        <v>454</v>
      </c>
      <c r="B37" s="76" t="s">
        <v>455</v>
      </c>
      <c r="C37" s="74"/>
      <c r="D37" s="74"/>
      <c r="E37" s="74"/>
      <c r="F37" s="74"/>
    </row>
    <row r="39" spans="1:16" ht="16" customHeight="1" x14ac:dyDescent="0.2">
      <c r="A39" s="98" t="s">
        <v>456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</row>
    <row r="40" spans="1:16" ht="60" customHeight="1" x14ac:dyDescent="0.15">
      <c r="A40" s="113" t="s">
        <v>457</v>
      </c>
      <c r="B40" s="113" t="s">
        <v>442</v>
      </c>
      <c r="C40" s="113" t="s">
        <v>411</v>
      </c>
      <c r="D40" s="113" t="s">
        <v>443</v>
      </c>
      <c r="E40" s="113" t="s">
        <v>458</v>
      </c>
      <c r="F40" s="113" t="s">
        <v>459</v>
      </c>
      <c r="G40" s="113" t="s">
        <v>460</v>
      </c>
      <c r="H40" s="113" t="s">
        <v>461</v>
      </c>
      <c r="I40" s="113" t="s">
        <v>462</v>
      </c>
      <c r="J40" s="113" t="s">
        <v>444</v>
      </c>
      <c r="K40" s="113" t="s">
        <v>463</v>
      </c>
      <c r="L40" s="104" t="s">
        <v>464</v>
      </c>
      <c r="M40" s="104" t="s">
        <v>465</v>
      </c>
      <c r="N40" s="104" t="s">
        <v>466</v>
      </c>
      <c r="O40" s="104" t="s">
        <v>445</v>
      </c>
      <c r="P40" s="104" t="s">
        <v>446</v>
      </c>
    </row>
    <row r="41" spans="1:16" ht="15" customHeight="1" x14ac:dyDescent="0.15">
      <c r="A41" s="105" t="str">
        <f>C54</f>
        <v>low-latency</v>
      </c>
      <c r="B41" s="106">
        <f>I54</f>
        <v>1</v>
      </c>
      <c r="C41" s="107">
        <f>J54/1000</f>
        <v>0.33400000000000002</v>
      </c>
      <c r="D41" s="108">
        <f>ROUND(1000/K54,0)</f>
        <v>435</v>
      </c>
      <c r="E41" s="109">
        <f>L54</f>
        <v>48</v>
      </c>
      <c r="F41" s="106">
        <f>$B$91</f>
        <v>8</v>
      </c>
      <c r="G41" s="110">
        <f>E41*F41</f>
        <v>384</v>
      </c>
      <c r="H41" s="106">
        <f>H54</f>
        <v>1024</v>
      </c>
      <c r="I41" s="106">
        <f>G54</f>
        <v>8192</v>
      </c>
      <c r="J41" s="111">
        <f>G41/H41</f>
        <v>0.375</v>
      </c>
      <c r="K41" s="112">
        <f>($B$94*F41/$B$93)/J41</f>
        <v>1.7777777777777778E-2</v>
      </c>
      <c r="L41" s="91">
        <f>(K54/1000)*(H41-1)</f>
        <v>2.3529</v>
      </c>
      <c r="M41" s="92">
        <f>C41/(C41+L41)</f>
        <v>0.1243068219881648</v>
      </c>
      <c r="N41" s="92">
        <f>L41/(C41+L41)</f>
        <v>0.87569317801183522</v>
      </c>
      <c r="O41" s="93">
        <f>(K41*M41/I41)*$B$92</f>
        <v>0.26976306855070481</v>
      </c>
      <c r="P41" s="93">
        <f>(K41*N41/H41)*$B$92</f>
        <v>15.203006562705472</v>
      </c>
    </row>
    <row r="42" spans="1:16" ht="15" customHeight="1" x14ac:dyDescent="0.15">
      <c r="A42" s="76" t="str">
        <f>C55</f>
        <v>low-latency</v>
      </c>
      <c r="B42" s="82">
        <f>I55</f>
        <v>16</v>
      </c>
      <c r="C42" s="83">
        <f>J55/1000</f>
        <v>2.7770000000000001</v>
      </c>
      <c r="D42" s="87">
        <f>ROUND(1000/K55,0)</f>
        <v>146</v>
      </c>
      <c r="E42" s="88">
        <f>L55</f>
        <v>209</v>
      </c>
      <c r="F42" s="82">
        <f>$B$91</f>
        <v>8</v>
      </c>
      <c r="G42" s="84">
        <f>E42*F42</f>
        <v>1672</v>
      </c>
      <c r="H42" s="82">
        <f>H55</f>
        <v>1024</v>
      </c>
      <c r="I42" s="82">
        <f>G55</f>
        <v>8192</v>
      </c>
      <c r="J42" s="89">
        <f>G42/H42</f>
        <v>1.6328125</v>
      </c>
      <c r="K42" s="90">
        <f>($B$94*F42/$B$93)/J42</f>
        <v>4.0829346092503991E-3</v>
      </c>
      <c r="L42" s="91">
        <f>(K55/1000)*(H42-1)</f>
        <v>6.9973199999999993</v>
      </c>
      <c r="M42" s="92">
        <f>C42/(C42+L42)</f>
        <v>0.28411183591288197</v>
      </c>
      <c r="N42" s="92">
        <f>L42/(C42+L42)</f>
        <v>0.71588816408711808</v>
      </c>
      <c r="O42" s="93">
        <f>(K42*M42/I42)*$B$92</f>
        <v>0.14160278903154008</v>
      </c>
      <c r="P42" s="93">
        <f>(K42*N42/H42)*$B$92</f>
        <v>2.8544185170937721</v>
      </c>
    </row>
    <row r="43" spans="1:16" ht="15" customHeight="1" x14ac:dyDescent="0.15">
      <c r="A43" s="76" t="str">
        <f>C56</f>
        <v>balanced</v>
      </c>
      <c r="B43" s="82">
        <f>I56</f>
        <v>64</v>
      </c>
      <c r="C43" s="83">
        <f>J56/1000</f>
        <v>5.68</v>
      </c>
      <c r="D43" s="87">
        <f>ROUND(1000/K56,0)</f>
        <v>53</v>
      </c>
      <c r="E43" s="88">
        <f>L56</f>
        <v>285</v>
      </c>
      <c r="F43" s="82">
        <f>$B$91</f>
        <v>8</v>
      </c>
      <c r="G43" s="84">
        <f>E43*F43</f>
        <v>2280</v>
      </c>
      <c r="H43" s="82">
        <f>H56</f>
        <v>1024</v>
      </c>
      <c r="I43" s="82">
        <f>G56</f>
        <v>8192</v>
      </c>
      <c r="J43" s="89">
        <f>G43/H43</f>
        <v>2.2265625</v>
      </c>
      <c r="K43" s="90">
        <f>($B$94*F43/$B$93)/J43</f>
        <v>2.9941520467836259E-3</v>
      </c>
      <c r="L43" s="91">
        <f>(K56/1000)*(H43-1)</f>
        <v>19.191480000000002</v>
      </c>
      <c r="M43" s="92">
        <f>C43/(C43+L43)</f>
        <v>0.22837402518868999</v>
      </c>
      <c r="N43" s="92">
        <f>L43/(C43+L43)</f>
        <v>0.77162597481131001</v>
      </c>
      <c r="O43" s="93">
        <f>(K43*M43/I43)*$B$92</f>
        <v>8.3470038446158634E-2</v>
      </c>
      <c r="P43" s="93">
        <f>(K43*N43/H43)*$B$92</f>
        <v>2.2562163006178655</v>
      </c>
    </row>
    <row r="44" spans="1:16" ht="15" customHeight="1" x14ac:dyDescent="0.15">
      <c r="A44" s="76" t="str">
        <f>C57</f>
        <v>balanced</v>
      </c>
      <c r="B44" s="82">
        <f>I57</f>
        <v>256</v>
      </c>
      <c r="C44" s="83">
        <f>J57/1000</f>
        <v>60.664999999999999</v>
      </c>
      <c r="D44" s="87">
        <f>ROUND(1000/K57,0)</f>
        <v>42</v>
      </c>
      <c r="E44" s="88">
        <f>L57</f>
        <v>297</v>
      </c>
      <c r="F44" s="82">
        <f>$B$91</f>
        <v>8</v>
      </c>
      <c r="G44" s="84">
        <f>E44*F44</f>
        <v>2376</v>
      </c>
      <c r="H44" s="82">
        <f>H57</f>
        <v>1024</v>
      </c>
      <c r="I44" s="82">
        <f>G57</f>
        <v>8192</v>
      </c>
      <c r="J44" s="89">
        <f>G44/H44</f>
        <v>2.3203125</v>
      </c>
      <c r="K44" s="90">
        <f>($B$94*F44/$B$93)/J44</f>
        <v>2.8731762065095402E-3</v>
      </c>
      <c r="L44" s="91">
        <f>(K57/1000)*(H44-1)</f>
        <v>24.45993</v>
      </c>
      <c r="M44" s="92">
        <f>C44/(C44+L44)</f>
        <v>0.71265844212735319</v>
      </c>
      <c r="N44" s="92">
        <f>L44/(C44+L44)</f>
        <v>0.2873415578726467</v>
      </c>
      <c r="O44" s="93">
        <f>(K44*M44/I44)*$B$92</f>
        <v>0.24995035147564298</v>
      </c>
      <c r="P44" s="93">
        <f>(K44*N44/H44)*$B$92</f>
        <v>0.80623332736432862</v>
      </c>
    </row>
    <row r="45" spans="1:16" ht="15" customHeight="1" x14ac:dyDescent="0.15">
      <c r="A45" s="76" t="str">
        <f>C58</f>
        <v>high-throughput</v>
      </c>
      <c r="B45" s="82">
        <f>I58</f>
        <v>1024</v>
      </c>
      <c r="C45" s="83">
        <f>J58/1000</f>
        <v>178.249</v>
      </c>
      <c r="D45" s="87">
        <f>ROUND(1000/K58,0)</f>
        <v>21</v>
      </c>
      <c r="E45" s="88">
        <f>L58</f>
        <v>449</v>
      </c>
      <c r="F45" s="82">
        <f>$B$91</f>
        <v>8</v>
      </c>
      <c r="G45" s="84">
        <f>E45*F45</f>
        <v>3592</v>
      </c>
      <c r="H45" s="82">
        <f>H58</f>
        <v>1024</v>
      </c>
      <c r="I45" s="82">
        <f>G58</f>
        <v>8192</v>
      </c>
      <c r="J45" s="89">
        <f>G45/H45</f>
        <v>3.5078125</v>
      </c>
      <c r="K45" s="90">
        <f>($B$94*F45/$B$93)/J45</f>
        <v>1.9005196733481813E-3</v>
      </c>
      <c r="L45" s="91">
        <f>(K58/1000)*(H45-1)</f>
        <v>49.390440000000005</v>
      </c>
      <c r="M45" s="92">
        <f>C45/(C45+L45)</f>
        <v>0.78303214943772481</v>
      </c>
      <c r="N45" s="92">
        <f>L45/(C45+L45)</f>
        <v>0.21696785056227516</v>
      </c>
      <c r="O45" s="93">
        <f>(K45*M45/I45)*$B$92</f>
        <v>0.18166113340704454</v>
      </c>
      <c r="P45" s="93">
        <f>(K45*N45/H45)*$B$92</f>
        <v>0.40268717624772676</v>
      </c>
    </row>
    <row r="47" spans="1:16" ht="16" customHeight="1" x14ac:dyDescent="0.2">
      <c r="A47" s="98" t="s">
        <v>467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</row>
    <row r="48" spans="1:16" ht="30" customHeight="1" x14ac:dyDescent="0.15">
      <c r="A48" s="113" t="s">
        <v>468</v>
      </c>
      <c r="B48" s="113" t="s">
        <v>469</v>
      </c>
      <c r="C48" s="113" t="s">
        <v>470</v>
      </c>
      <c r="D48" s="113" t="s">
        <v>471</v>
      </c>
      <c r="E48" s="113" t="s">
        <v>472</v>
      </c>
      <c r="F48" s="113" t="s">
        <v>473</v>
      </c>
      <c r="G48" s="113" t="s">
        <v>474</v>
      </c>
      <c r="H48" s="113" t="s">
        <v>475</v>
      </c>
      <c r="I48" s="113" t="s">
        <v>476</v>
      </c>
      <c r="J48" s="113" t="s">
        <v>477</v>
      </c>
      <c r="K48" s="113" t="s">
        <v>478</v>
      </c>
      <c r="L48" s="113" t="s">
        <v>479</v>
      </c>
      <c r="M48" s="113" t="s">
        <v>151</v>
      </c>
    </row>
    <row r="49" spans="1:13" x14ac:dyDescent="0.15">
      <c r="A49" s="105" t="s">
        <v>480</v>
      </c>
      <c r="B49" s="105" t="s">
        <v>481</v>
      </c>
      <c r="C49" s="105" t="s">
        <v>449</v>
      </c>
      <c r="D49" s="105" t="s">
        <v>482</v>
      </c>
      <c r="E49" s="105" t="s">
        <v>483</v>
      </c>
      <c r="F49" s="105" t="s">
        <v>484</v>
      </c>
      <c r="G49" s="114">
        <v>8192</v>
      </c>
      <c r="H49" s="114">
        <v>1024</v>
      </c>
      <c r="I49" s="106">
        <v>1</v>
      </c>
      <c r="J49" s="106">
        <v>662</v>
      </c>
      <c r="K49" s="114">
        <v>3.03</v>
      </c>
      <c r="L49" s="106">
        <v>34</v>
      </c>
      <c r="M49" s="105" t="s">
        <v>485</v>
      </c>
    </row>
    <row r="50" spans="1:13" x14ac:dyDescent="0.15">
      <c r="A50" s="76" t="s">
        <v>480</v>
      </c>
      <c r="B50" s="76" t="s">
        <v>481</v>
      </c>
      <c r="C50" s="76" t="s">
        <v>449</v>
      </c>
      <c r="D50" s="76" t="s">
        <v>482</v>
      </c>
      <c r="E50" s="76" t="s">
        <v>483</v>
      </c>
      <c r="F50" s="76" t="s">
        <v>484</v>
      </c>
      <c r="G50" s="94">
        <v>8192</v>
      </c>
      <c r="H50" s="94">
        <v>1024</v>
      </c>
      <c r="I50" s="82">
        <v>16</v>
      </c>
      <c r="J50" s="82">
        <v>5080</v>
      </c>
      <c r="K50" s="94">
        <v>12.44</v>
      </c>
      <c r="L50" s="82">
        <v>113</v>
      </c>
      <c r="M50" s="76" t="s">
        <v>485</v>
      </c>
    </row>
    <row r="51" spans="1:13" x14ac:dyDescent="0.15">
      <c r="A51" s="76" t="s">
        <v>480</v>
      </c>
      <c r="B51" s="76" t="s">
        <v>481</v>
      </c>
      <c r="C51" s="76" t="s">
        <v>451</v>
      </c>
      <c r="D51" s="76" t="s">
        <v>482</v>
      </c>
      <c r="E51" s="76" t="s">
        <v>483</v>
      </c>
      <c r="F51" s="76" t="s">
        <v>484</v>
      </c>
      <c r="G51" s="94">
        <v>8192</v>
      </c>
      <c r="H51" s="94">
        <v>1024</v>
      </c>
      <c r="I51" s="82">
        <v>64</v>
      </c>
      <c r="J51" s="82">
        <v>8013</v>
      </c>
      <c r="K51" s="94">
        <v>25.57</v>
      </c>
      <c r="L51" s="82">
        <v>219</v>
      </c>
      <c r="M51" s="76" t="s">
        <v>485</v>
      </c>
    </row>
    <row r="52" spans="1:13" x14ac:dyDescent="0.15">
      <c r="A52" s="76" t="s">
        <v>480</v>
      </c>
      <c r="B52" s="76" t="s">
        <v>481</v>
      </c>
      <c r="C52" s="76" t="s">
        <v>451</v>
      </c>
      <c r="D52" s="76" t="s">
        <v>482</v>
      </c>
      <c r="E52" s="76" t="s">
        <v>483</v>
      </c>
      <c r="F52" s="76" t="s">
        <v>484</v>
      </c>
      <c r="G52" s="94">
        <v>8192</v>
      </c>
      <c r="H52" s="94">
        <v>1024</v>
      </c>
      <c r="I52" s="82">
        <v>256</v>
      </c>
      <c r="J52" s="82">
        <v>77790</v>
      </c>
      <c r="K52" s="94">
        <v>29.08</v>
      </c>
      <c r="L52" s="82">
        <v>236</v>
      </c>
      <c r="M52" s="76" t="s">
        <v>485</v>
      </c>
    </row>
    <row r="53" spans="1:13" x14ac:dyDescent="0.15">
      <c r="A53" s="76" t="s">
        <v>480</v>
      </c>
      <c r="B53" s="76" t="s">
        <v>481</v>
      </c>
      <c r="C53" s="76" t="s">
        <v>453</v>
      </c>
      <c r="D53" s="76" t="s">
        <v>482</v>
      </c>
      <c r="E53" s="76" t="s">
        <v>483</v>
      </c>
      <c r="F53" s="76" t="s">
        <v>484</v>
      </c>
      <c r="G53" s="94">
        <v>8192</v>
      </c>
      <c r="H53" s="94">
        <v>1024</v>
      </c>
      <c r="I53" s="82">
        <v>1024</v>
      </c>
      <c r="J53" s="82">
        <v>450276</v>
      </c>
      <c r="K53" s="94">
        <v>86.71</v>
      </c>
      <c r="L53" s="82">
        <v>184</v>
      </c>
      <c r="M53" s="76" t="s">
        <v>485</v>
      </c>
    </row>
    <row r="54" spans="1:13" x14ac:dyDescent="0.15">
      <c r="A54" s="76" t="s">
        <v>486</v>
      </c>
      <c r="B54" s="76" t="s">
        <v>481</v>
      </c>
      <c r="C54" s="76" t="s">
        <v>449</v>
      </c>
      <c r="D54" s="76" t="s">
        <v>482</v>
      </c>
      <c r="E54" s="76" t="s">
        <v>483</v>
      </c>
      <c r="F54" s="76" t="s">
        <v>484</v>
      </c>
      <c r="G54" s="94">
        <v>8192</v>
      </c>
      <c r="H54" s="94">
        <v>1024</v>
      </c>
      <c r="I54" s="82">
        <v>1</v>
      </c>
      <c r="J54" s="82">
        <v>334</v>
      </c>
      <c r="K54" s="94">
        <v>2.2999999999999998</v>
      </c>
      <c r="L54" s="82">
        <v>48</v>
      </c>
      <c r="M54" s="76" t="s">
        <v>485</v>
      </c>
    </row>
    <row r="55" spans="1:13" x14ac:dyDescent="0.15">
      <c r="A55" s="76" t="s">
        <v>486</v>
      </c>
      <c r="B55" s="76" t="s">
        <v>481</v>
      </c>
      <c r="C55" s="76" t="s">
        <v>449</v>
      </c>
      <c r="D55" s="76" t="s">
        <v>482</v>
      </c>
      <c r="E55" s="76" t="s">
        <v>483</v>
      </c>
      <c r="F55" s="76" t="s">
        <v>484</v>
      </c>
      <c r="G55" s="94">
        <v>8192</v>
      </c>
      <c r="H55" s="94">
        <v>1024</v>
      </c>
      <c r="I55" s="82">
        <v>16</v>
      </c>
      <c r="J55" s="82">
        <v>2777</v>
      </c>
      <c r="K55" s="94">
        <v>6.84</v>
      </c>
      <c r="L55" s="82">
        <v>209</v>
      </c>
      <c r="M55" s="76" t="s">
        <v>485</v>
      </c>
    </row>
    <row r="56" spans="1:13" x14ac:dyDescent="0.15">
      <c r="A56" s="76" t="s">
        <v>486</v>
      </c>
      <c r="B56" s="76" t="s">
        <v>481</v>
      </c>
      <c r="C56" s="76" t="s">
        <v>451</v>
      </c>
      <c r="D56" s="76" t="s">
        <v>482</v>
      </c>
      <c r="E56" s="76" t="s">
        <v>483</v>
      </c>
      <c r="F56" s="76" t="s">
        <v>484</v>
      </c>
      <c r="G56" s="94">
        <v>8192</v>
      </c>
      <c r="H56" s="94">
        <v>1024</v>
      </c>
      <c r="I56" s="82">
        <v>64</v>
      </c>
      <c r="J56" s="82">
        <v>5680</v>
      </c>
      <c r="K56" s="94">
        <v>18.760000000000002</v>
      </c>
      <c r="L56" s="82">
        <v>285</v>
      </c>
      <c r="M56" s="76" t="s">
        <v>485</v>
      </c>
    </row>
    <row r="57" spans="1:13" x14ac:dyDescent="0.15">
      <c r="A57" s="76" t="s">
        <v>486</v>
      </c>
      <c r="B57" s="76" t="s">
        <v>481</v>
      </c>
      <c r="C57" s="76" t="s">
        <v>451</v>
      </c>
      <c r="D57" s="76" t="s">
        <v>482</v>
      </c>
      <c r="E57" s="76" t="s">
        <v>483</v>
      </c>
      <c r="F57" s="76" t="s">
        <v>484</v>
      </c>
      <c r="G57" s="94">
        <v>8192</v>
      </c>
      <c r="H57" s="94">
        <v>1024</v>
      </c>
      <c r="I57" s="82">
        <v>256</v>
      </c>
      <c r="J57" s="82">
        <v>60665</v>
      </c>
      <c r="K57" s="94">
        <v>23.91</v>
      </c>
      <c r="L57" s="82">
        <v>297</v>
      </c>
      <c r="M57" s="76" t="s">
        <v>485</v>
      </c>
    </row>
    <row r="58" spans="1:13" x14ac:dyDescent="0.15">
      <c r="A58" s="76" t="s">
        <v>486</v>
      </c>
      <c r="B58" s="76" t="s">
        <v>481</v>
      </c>
      <c r="C58" s="76" t="s">
        <v>453</v>
      </c>
      <c r="D58" s="76" t="s">
        <v>482</v>
      </c>
      <c r="E58" s="76" t="s">
        <v>483</v>
      </c>
      <c r="F58" s="76" t="s">
        <v>484</v>
      </c>
      <c r="G58" s="94">
        <v>8192</v>
      </c>
      <c r="H58" s="94">
        <v>1024</v>
      </c>
      <c r="I58" s="82">
        <v>1024</v>
      </c>
      <c r="J58" s="82">
        <v>178249</v>
      </c>
      <c r="K58" s="94">
        <v>48.28</v>
      </c>
      <c r="L58" s="82">
        <v>449</v>
      </c>
      <c r="M58" s="76" t="s">
        <v>485</v>
      </c>
    </row>
    <row r="59" spans="1:13" x14ac:dyDescent="0.15">
      <c r="A59" s="76" t="s">
        <v>487</v>
      </c>
      <c r="B59" s="76" t="s">
        <v>481</v>
      </c>
      <c r="C59" s="76" t="s">
        <v>449</v>
      </c>
      <c r="D59" s="76" t="s">
        <v>482</v>
      </c>
      <c r="E59" s="76" t="s">
        <v>483</v>
      </c>
      <c r="F59" s="76" t="s">
        <v>484</v>
      </c>
      <c r="G59" s="94">
        <v>8192</v>
      </c>
      <c r="H59" s="94">
        <v>1024</v>
      </c>
      <c r="I59" s="82">
        <v>1</v>
      </c>
      <c r="J59" s="82">
        <v>393</v>
      </c>
      <c r="K59" s="94">
        <v>2.78</v>
      </c>
      <c r="L59" s="82">
        <v>79</v>
      </c>
      <c r="M59" s="76" t="s">
        <v>485</v>
      </c>
    </row>
    <row r="60" spans="1:13" x14ac:dyDescent="0.15">
      <c r="A60" s="76" t="s">
        <v>487</v>
      </c>
      <c r="B60" s="76" t="s">
        <v>481</v>
      </c>
      <c r="C60" s="76" t="s">
        <v>449</v>
      </c>
      <c r="D60" s="76" t="s">
        <v>482</v>
      </c>
      <c r="E60" s="76" t="s">
        <v>483</v>
      </c>
      <c r="F60" s="76" t="s">
        <v>484</v>
      </c>
      <c r="G60" s="94">
        <v>8192</v>
      </c>
      <c r="H60" s="94">
        <v>1024</v>
      </c>
      <c r="I60" s="82">
        <v>16</v>
      </c>
      <c r="J60" s="82">
        <v>3201</v>
      </c>
      <c r="K60" s="94">
        <v>8.5299999999999994</v>
      </c>
      <c r="L60" s="82">
        <v>341</v>
      </c>
      <c r="M60" s="76" t="s">
        <v>485</v>
      </c>
    </row>
    <row r="61" spans="1:13" x14ac:dyDescent="0.15">
      <c r="A61" s="76" t="s">
        <v>487</v>
      </c>
      <c r="B61" s="76" t="s">
        <v>481</v>
      </c>
      <c r="C61" s="76" t="s">
        <v>451</v>
      </c>
      <c r="D61" s="76" t="s">
        <v>482</v>
      </c>
      <c r="E61" s="76" t="s">
        <v>483</v>
      </c>
      <c r="F61" s="76" t="s">
        <v>484</v>
      </c>
      <c r="G61" s="94">
        <v>8192</v>
      </c>
      <c r="H61" s="94">
        <v>1024</v>
      </c>
      <c r="I61" s="82">
        <v>64</v>
      </c>
      <c r="J61" s="82">
        <v>7678</v>
      </c>
      <c r="K61" s="94">
        <v>27.77</v>
      </c>
      <c r="L61" s="82">
        <v>411</v>
      </c>
      <c r="M61" s="76" t="s">
        <v>485</v>
      </c>
    </row>
    <row r="62" spans="1:13" x14ac:dyDescent="0.15">
      <c r="A62" s="76" t="s">
        <v>487</v>
      </c>
      <c r="B62" s="76" t="s">
        <v>481</v>
      </c>
      <c r="C62" s="76" t="s">
        <v>451</v>
      </c>
      <c r="D62" s="76" t="s">
        <v>482</v>
      </c>
      <c r="E62" s="76" t="s">
        <v>483</v>
      </c>
      <c r="F62" s="76" t="s">
        <v>484</v>
      </c>
      <c r="G62" s="94">
        <v>8192</v>
      </c>
      <c r="H62" s="94">
        <v>1024</v>
      </c>
      <c r="I62" s="82">
        <v>256</v>
      </c>
      <c r="J62" s="82">
        <v>76359</v>
      </c>
      <c r="K62" s="94">
        <v>31.08</v>
      </c>
      <c r="L62" s="82">
        <v>483</v>
      </c>
      <c r="M62" s="76" t="s">
        <v>485</v>
      </c>
    </row>
    <row r="63" spans="1:13" x14ac:dyDescent="0.15">
      <c r="A63" s="76" t="s">
        <v>487</v>
      </c>
      <c r="B63" s="76" t="s">
        <v>481</v>
      </c>
      <c r="C63" s="76" t="s">
        <v>453</v>
      </c>
      <c r="D63" s="76" t="s">
        <v>482</v>
      </c>
      <c r="E63" s="76" t="s">
        <v>483</v>
      </c>
      <c r="F63" s="76" t="s">
        <v>484</v>
      </c>
      <c r="G63" s="94">
        <v>8192</v>
      </c>
      <c r="H63" s="94">
        <v>1024</v>
      </c>
      <c r="I63" s="82">
        <v>1024</v>
      </c>
      <c r="J63" s="82">
        <v>250727</v>
      </c>
      <c r="K63" s="94">
        <v>68.55</v>
      </c>
      <c r="L63" s="82">
        <v>641</v>
      </c>
      <c r="M63" s="76" t="s">
        <v>485</v>
      </c>
    </row>
    <row r="64" spans="1:13" x14ac:dyDescent="0.15">
      <c r="A64" s="76" t="s">
        <v>488</v>
      </c>
      <c r="B64" s="76" t="s">
        <v>481</v>
      </c>
      <c r="C64" s="76" t="s">
        <v>449</v>
      </c>
      <c r="D64" s="76" t="s">
        <v>482</v>
      </c>
      <c r="E64" s="76" t="s">
        <v>483</v>
      </c>
      <c r="F64" s="76" t="s">
        <v>484</v>
      </c>
      <c r="G64" s="94">
        <v>8192</v>
      </c>
      <c r="H64" s="94">
        <v>1024</v>
      </c>
      <c r="I64" s="82">
        <v>1</v>
      </c>
      <c r="J64" s="82">
        <v>503</v>
      </c>
      <c r="K64" s="94">
        <v>3.24</v>
      </c>
      <c r="L64" s="82">
        <v>34</v>
      </c>
      <c r="M64" s="76" t="s">
        <v>485</v>
      </c>
    </row>
    <row r="65" spans="1:16" x14ac:dyDescent="0.15">
      <c r="A65" s="76" t="s">
        <v>488</v>
      </c>
      <c r="B65" s="76" t="s">
        <v>481</v>
      </c>
      <c r="C65" s="76" t="s">
        <v>449</v>
      </c>
      <c r="D65" s="76" t="s">
        <v>482</v>
      </c>
      <c r="E65" s="76" t="s">
        <v>483</v>
      </c>
      <c r="F65" s="76" t="s">
        <v>484</v>
      </c>
      <c r="G65" s="94">
        <v>8192</v>
      </c>
      <c r="H65" s="94">
        <v>1024</v>
      </c>
      <c r="I65" s="82">
        <v>16</v>
      </c>
      <c r="J65" s="82">
        <v>4731</v>
      </c>
      <c r="K65" s="94">
        <v>9.56</v>
      </c>
      <c r="L65" s="82">
        <v>140</v>
      </c>
      <c r="M65" s="76" t="s">
        <v>485</v>
      </c>
    </row>
    <row r="66" spans="1:16" x14ac:dyDescent="0.15">
      <c r="A66" s="76" t="s">
        <v>488</v>
      </c>
      <c r="B66" s="76" t="s">
        <v>481</v>
      </c>
      <c r="C66" s="76" t="s">
        <v>451</v>
      </c>
      <c r="D66" s="76" t="s">
        <v>482</v>
      </c>
      <c r="E66" s="76" t="s">
        <v>483</v>
      </c>
      <c r="F66" s="76" t="s">
        <v>484</v>
      </c>
      <c r="G66" s="94">
        <v>8192</v>
      </c>
      <c r="H66" s="94">
        <v>1024</v>
      </c>
      <c r="I66" s="82">
        <v>64</v>
      </c>
      <c r="J66" s="82">
        <v>6465</v>
      </c>
      <c r="K66" s="94">
        <v>23.36</v>
      </c>
      <c r="L66" s="82">
        <v>245</v>
      </c>
      <c r="M66" s="76" t="s">
        <v>485</v>
      </c>
    </row>
    <row r="67" spans="1:16" x14ac:dyDescent="0.15">
      <c r="A67" s="76" t="s">
        <v>488</v>
      </c>
      <c r="B67" s="76" t="s">
        <v>481</v>
      </c>
      <c r="C67" s="76" t="s">
        <v>451</v>
      </c>
      <c r="D67" s="76" t="s">
        <v>482</v>
      </c>
      <c r="E67" s="76" t="s">
        <v>483</v>
      </c>
      <c r="F67" s="76" t="s">
        <v>484</v>
      </c>
      <c r="G67" s="94">
        <v>8192</v>
      </c>
      <c r="H67" s="94">
        <v>1024</v>
      </c>
      <c r="I67" s="82">
        <v>256</v>
      </c>
      <c r="J67" s="82">
        <v>67814</v>
      </c>
      <c r="K67" s="94">
        <v>26.19</v>
      </c>
      <c r="L67" s="82">
        <v>265</v>
      </c>
      <c r="M67" s="76" t="s">
        <v>485</v>
      </c>
    </row>
    <row r="68" spans="1:16" x14ac:dyDescent="0.15">
      <c r="A68" s="76" t="s">
        <v>488</v>
      </c>
      <c r="B68" s="76" t="s">
        <v>481</v>
      </c>
      <c r="C68" s="76" t="s">
        <v>453</v>
      </c>
      <c r="D68" s="76" t="s">
        <v>482</v>
      </c>
      <c r="E68" s="76" t="s">
        <v>483</v>
      </c>
      <c r="F68" s="76" t="s">
        <v>484</v>
      </c>
      <c r="G68" s="94">
        <v>8192</v>
      </c>
      <c r="H68" s="94">
        <v>1024</v>
      </c>
      <c r="I68" s="82">
        <v>1024</v>
      </c>
      <c r="J68" s="82">
        <v>206246</v>
      </c>
      <c r="K68" s="94">
        <v>56.11</v>
      </c>
      <c r="L68" s="82">
        <v>388</v>
      </c>
      <c r="M68" s="76" t="s">
        <v>485</v>
      </c>
    </row>
    <row r="69" spans="1:16" x14ac:dyDescent="0.15">
      <c r="A69" s="76" t="s">
        <v>488</v>
      </c>
      <c r="B69" s="76" t="s">
        <v>489</v>
      </c>
      <c r="C69" s="76" t="s">
        <v>449</v>
      </c>
      <c r="D69" s="76" t="s">
        <v>482</v>
      </c>
      <c r="E69" s="76" t="s">
        <v>483</v>
      </c>
      <c r="F69" s="76" t="s">
        <v>484</v>
      </c>
      <c r="G69" s="94">
        <v>8192</v>
      </c>
      <c r="H69" s="94">
        <v>1024</v>
      </c>
      <c r="I69" s="82">
        <v>1</v>
      </c>
      <c r="J69" s="82">
        <v>470</v>
      </c>
      <c r="K69" s="94">
        <v>2.93</v>
      </c>
      <c r="L69" s="82">
        <v>37</v>
      </c>
      <c r="M69" s="76" t="s">
        <v>485</v>
      </c>
    </row>
    <row r="70" spans="1:16" x14ac:dyDescent="0.15">
      <c r="A70" s="76" t="s">
        <v>488</v>
      </c>
      <c r="B70" s="76" t="s">
        <v>489</v>
      </c>
      <c r="C70" s="76" t="s">
        <v>449</v>
      </c>
      <c r="D70" s="76" t="s">
        <v>482</v>
      </c>
      <c r="E70" s="76" t="s">
        <v>483</v>
      </c>
      <c r="F70" s="76" t="s">
        <v>484</v>
      </c>
      <c r="G70" s="94">
        <v>8192</v>
      </c>
      <c r="H70" s="94">
        <v>1024</v>
      </c>
      <c r="I70" s="82">
        <v>16</v>
      </c>
      <c r="J70" s="82">
        <v>3474</v>
      </c>
      <c r="K70" s="94">
        <v>10.33</v>
      </c>
      <c r="L70" s="82">
        <v>146</v>
      </c>
      <c r="M70" s="76" t="s">
        <v>485</v>
      </c>
    </row>
    <row r="71" spans="1:16" x14ac:dyDescent="0.15">
      <c r="A71" s="76" t="s">
        <v>488</v>
      </c>
      <c r="B71" s="76" t="s">
        <v>489</v>
      </c>
      <c r="C71" s="76" t="s">
        <v>451</v>
      </c>
      <c r="D71" s="76" t="s">
        <v>482</v>
      </c>
      <c r="E71" s="76" t="s">
        <v>483</v>
      </c>
      <c r="F71" s="76" t="s">
        <v>484</v>
      </c>
      <c r="G71" s="94">
        <v>8192</v>
      </c>
      <c r="H71" s="94">
        <v>1024</v>
      </c>
      <c r="I71" s="82">
        <v>64</v>
      </c>
      <c r="J71" s="82">
        <v>14123</v>
      </c>
      <c r="K71" s="94">
        <v>35.47</v>
      </c>
      <c r="L71" s="82">
        <v>157</v>
      </c>
      <c r="M71" s="76" t="s">
        <v>485</v>
      </c>
    </row>
    <row r="72" spans="1:16" x14ac:dyDescent="0.15">
      <c r="A72" s="76" t="s">
        <v>488</v>
      </c>
      <c r="B72" s="76" t="s">
        <v>489</v>
      </c>
      <c r="C72" s="76" t="s">
        <v>451</v>
      </c>
      <c r="D72" s="76" t="s">
        <v>482</v>
      </c>
      <c r="E72" s="76" t="s">
        <v>483</v>
      </c>
      <c r="F72" s="76" t="s">
        <v>484</v>
      </c>
      <c r="G72" s="94">
        <v>8192</v>
      </c>
      <c r="H72" s="94">
        <v>1024</v>
      </c>
      <c r="I72" s="82">
        <v>256</v>
      </c>
      <c r="J72" s="82">
        <v>116633</v>
      </c>
      <c r="K72" s="94">
        <v>40.65</v>
      </c>
      <c r="L72" s="82">
        <v>167</v>
      </c>
      <c r="M72" s="76" t="s">
        <v>485</v>
      </c>
    </row>
    <row r="73" spans="1:16" x14ac:dyDescent="0.15">
      <c r="A73" s="76" t="s">
        <v>488</v>
      </c>
      <c r="B73" s="76" t="s">
        <v>489</v>
      </c>
      <c r="C73" s="76" t="s">
        <v>453</v>
      </c>
      <c r="D73" s="76" t="s">
        <v>482</v>
      </c>
      <c r="E73" s="76" t="s">
        <v>483</v>
      </c>
      <c r="F73" s="76" t="s">
        <v>484</v>
      </c>
      <c r="G73" s="94">
        <v>8192</v>
      </c>
      <c r="H73" s="94">
        <v>1024</v>
      </c>
      <c r="I73" s="82">
        <v>1024</v>
      </c>
      <c r="J73" s="82">
        <v>525108</v>
      </c>
      <c r="K73" s="94">
        <v>82.52</v>
      </c>
      <c r="L73" s="82">
        <v>168</v>
      </c>
      <c r="M73" s="76" t="s">
        <v>485</v>
      </c>
    </row>
    <row r="75" spans="1:16" ht="16" customHeight="1" x14ac:dyDescent="0.2">
      <c r="A75" s="98" t="s">
        <v>490</v>
      </c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</row>
    <row r="76" spans="1:16" ht="30" customHeight="1" x14ac:dyDescent="0.15">
      <c r="A76" s="113" t="s">
        <v>491</v>
      </c>
      <c r="B76" s="113" t="s">
        <v>492</v>
      </c>
      <c r="C76" s="113" t="s">
        <v>493</v>
      </c>
      <c r="D76" s="113" t="s">
        <v>494</v>
      </c>
      <c r="E76" s="113" t="s">
        <v>495</v>
      </c>
      <c r="F76" s="113" t="s">
        <v>496</v>
      </c>
      <c r="G76" s="113" t="s">
        <v>497</v>
      </c>
      <c r="H76" s="113" t="s">
        <v>151</v>
      </c>
    </row>
    <row r="77" spans="1:16" x14ac:dyDescent="0.15">
      <c r="A77" s="105" t="s">
        <v>498</v>
      </c>
      <c r="B77" s="105" t="s">
        <v>499</v>
      </c>
      <c r="C77" s="105" t="s">
        <v>500</v>
      </c>
      <c r="D77" s="105" t="s">
        <v>501</v>
      </c>
      <c r="E77" s="115">
        <v>1.3</v>
      </c>
      <c r="F77" s="115">
        <v>1.69</v>
      </c>
      <c r="G77" s="115">
        <v>1.3</v>
      </c>
      <c r="H77" s="105" t="s">
        <v>502</v>
      </c>
    </row>
    <row r="78" spans="1:16" x14ac:dyDescent="0.15">
      <c r="A78" s="76" t="s">
        <v>480</v>
      </c>
      <c r="B78" s="76" t="s">
        <v>499</v>
      </c>
      <c r="C78" s="76" t="s">
        <v>500</v>
      </c>
      <c r="D78" s="76" t="s">
        <v>503</v>
      </c>
      <c r="E78" s="95">
        <v>1.41</v>
      </c>
      <c r="F78" s="95">
        <v>1.74</v>
      </c>
      <c r="G78" s="95">
        <v>1.6</v>
      </c>
      <c r="H78" s="76" t="s">
        <v>502</v>
      </c>
    </row>
    <row r="79" spans="1:16" x14ac:dyDescent="0.15">
      <c r="A79" s="76" t="s">
        <v>486</v>
      </c>
      <c r="B79" s="76" t="s">
        <v>499</v>
      </c>
      <c r="C79" s="76" t="s">
        <v>504</v>
      </c>
      <c r="D79" s="76" t="s">
        <v>421</v>
      </c>
      <c r="E79" s="95">
        <v>1.95</v>
      </c>
      <c r="F79" s="95">
        <v>2.34</v>
      </c>
      <c r="G79" s="95">
        <v>2.9</v>
      </c>
      <c r="H79" s="76" t="s">
        <v>502</v>
      </c>
    </row>
    <row r="80" spans="1:16" x14ac:dyDescent="0.15">
      <c r="A80" s="76" t="s">
        <v>488</v>
      </c>
      <c r="B80" s="76" t="s">
        <v>499</v>
      </c>
      <c r="C80" s="76" t="s">
        <v>504</v>
      </c>
      <c r="D80" s="76" t="s">
        <v>505</v>
      </c>
      <c r="E80" s="95">
        <v>2.34</v>
      </c>
      <c r="F80" s="95">
        <v>2.8079999999999998</v>
      </c>
      <c r="G80" s="95">
        <v>3.48</v>
      </c>
      <c r="H80" s="76" t="s">
        <v>502</v>
      </c>
    </row>
    <row r="81" spans="1:8" x14ac:dyDescent="0.15">
      <c r="A81" s="76" t="s">
        <v>506</v>
      </c>
      <c r="B81" s="76" t="s">
        <v>499</v>
      </c>
      <c r="C81" s="76" t="s">
        <v>504</v>
      </c>
      <c r="D81" s="76" t="s">
        <v>507</v>
      </c>
      <c r="E81" s="95">
        <v>2.21</v>
      </c>
      <c r="F81" s="95">
        <v>2.75</v>
      </c>
      <c r="G81" s="95">
        <v>3.3</v>
      </c>
      <c r="H81" s="76" t="s">
        <v>502</v>
      </c>
    </row>
    <row r="82" spans="1:8" x14ac:dyDescent="0.15">
      <c r="A82" s="76" t="s">
        <v>487</v>
      </c>
      <c r="B82" s="76" t="s">
        <v>499</v>
      </c>
      <c r="C82" s="76" t="s">
        <v>504</v>
      </c>
      <c r="D82" s="76" t="s">
        <v>508</v>
      </c>
      <c r="E82" s="95">
        <v>2.6520000000000001</v>
      </c>
      <c r="F82" s="95">
        <v>3.3</v>
      </c>
      <c r="G82" s="95">
        <v>3.96</v>
      </c>
      <c r="H82" s="76" t="s">
        <v>502</v>
      </c>
    </row>
    <row r="83" spans="1:8" x14ac:dyDescent="0.15">
      <c r="A83" s="76" t="s">
        <v>509</v>
      </c>
      <c r="B83" s="76" t="s">
        <v>510</v>
      </c>
      <c r="C83" s="76" t="s">
        <v>511</v>
      </c>
      <c r="D83" s="76" t="s">
        <v>512</v>
      </c>
      <c r="E83" s="95">
        <v>1.1200000000000001</v>
      </c>
      <c r="F83" s="95">
        <v>1.4</v>
      </c>
      <c r="G83" s="95">
        <v>1.55</v>
      </c>
      <c r="H83" s="76" t="s">
        <v>502</v>
      </c>
    </row>
    <row r="84" spans="1:8" x14ac:dyDescent="0.15">
      <c r="A84" s="76" t="s">
        <v>513</v>
      </c>
      <c r="B84" s="76" t="s">
        <v>510</v>
      </c>
      <c r="C84" s="76" t="s">
        <v>511</v>
      </c>
      <c r="D84" s="76" t="s">
        <v>514</v>
      </c>
      <c r="E84" s="95">
        <v>1.28</v>
      </c>
      <c r="F84" s="95">
        <v>1.59</v>
      </c>
      <c r="G84" s="95">
        <v>1.8</v>
      </c>
      <c r="H84" s="76" t="s">
        <v>502</v>
      </c>
    </row>
    <row r="85" spans="1:8" x14ac:dyDescent="0.15">
      <c r="A85" s="76" t="s">
        <v>515</v>
      </c>
      <c r="B85" s="76" t="s">
        <v>510</v>
      </c>
      <c r="C85" s="76" t="s">
        <v>516</v>
      </c>
      <c r="D85" s="76" t="s">
        <v>517</v>
      </c>
      <c r="E85" s="95">
        <v>1.48</v>
      </c>
      <c r="F85" s="95">
        <v>1.9</v>
      </c>
      <c r="G85" s="95">
        <v>2.1</v>
      </c>
      <c r="H85" s="76" t="s">
        <v>502</v>
      </c>
    </row>
    <row r="86" spans="1:8" x14ac:dyDescent="0.15">
      <c r="A86" s="74"/>
      <c r="B86" s="74"/>
      <c r="C86" s="74"/>
      <c r="D86" s="74"/>
      <c r="E86" s="74"/>
      <c r="F86" s="74"/>
      <c r="G86" s="74"/>
      <c r="H86" s="74"/>
    </row>
    <row r="87" spans="1:8" x14ac:dyDescent="0.15">
      <c r="A87" s="74"/>
      <c r="B87" s="74"/>
      <c r="C87" s="74"/>
      <c r="D87" s="74"/>
      <c r="E87" s="74"/>
      <c r="F87" s="74"/>
      <c r="G87" s="74"/>
      <c r="H87" s="74"/>
    </row>
    <row r="88" spans="1:8" x14ac:dyDescent="0.15">
      <c r="A88" s="74"/>
      <c r="B88" s="74"/>
      <c r="C88" s="74"/>
      <c r="D88" s="74"/>
      <c r="E88" s="74"/>
      <c r="F88" s="74"/>
      <c r="G88" s="74"/>
      <c r="H88" s="74"/>
    </row>
    <row r="89" spans="1:8" x14ac:dyDescent="0.15">
      <c r="A89" s="74"/>
      <c r="B89" s="74"/>
      <c r="C89" s="74"/>
      <c r="D89" s="74"/>
      <c r="E89" s="74"/>
      <c r="F89" s="74"/>
      <c r="G89" s="74"/>
      <c r="H89" s="74"/>
    </row>
    <row r="90" spans="1:8" ht="30" customHeight="1" x14ac:dyDescent="0.15">
      <c r="A90" s="116" t="s">
        <v>518</v>
      </c>
      <c r="B90" s="116"/>
      <c r="C90" s="74"/>
      <c r="D90" s="74"/>
      <c r="E90" s="74"/>
      <c r="F90" s="74"/>
      <c r="G90" s="74"/>
      <c r="H90" s="74"/>
    </row>
    <row r="91" spans="1:8" x14ac:dyDescent="0.15">
      <c r="A91" s="105" t="s">
        <v>367</v>
      </c>
      <c r="B91" s="106">
        <v>8</v>
      </c>
      <c r="C91" s="74"/>
      <c r="D91" s="74"/>
      <c r="E91" s="74"/>
      <c r="F91" s="74"/>
      <c r="G91" s="74"/>
      <c r="H91" s="74"/>
    </row>
    <row r="92" spans="1:8" x14ac:dyDescent="0.15">
      <c r="A92" s="76" t="s">
        <v>519</v>
      </c>
      <c r="B92" s="82">
        <v>1000000</v>
      </c>
      <c r="C92" s="74"/>
      <c r="D92" s="74"/>
      <c r="E92" s="74"/>
      <c r="F92" s="74"/>
      <c r="G92" s="74"/>
      <c r="H92" s="74"/>
    </row>
    <row r="93" spans="1:8" x14ac:dyDescent="0.15">
      <c r="A93" s="76" t="s">
        <v>520</v>
      </c>
      <c r="B93" s="82">
        <v>3600</v>
      </c>
      <c r="C93" s="74"/>
      <c r="D93" s="74"/>
      <c r="E93" s="74"/>
      <c r="F93" s="74"/>
      <c r="G93" s="74"/>
      <c r="H93" s="74"/>
    </row>
    <row r="94" spans="1:8" x14ac:dyDescent="0.15">
      <c r="A94" s="73" t="s">
        <v>521</v>
      </c>
      <c r="B94" s="484">
        <f>'Margin Model'!$B$4</f>
        <v>3</v>
      </c>
      <c r="C94" s="74"/>
      <c r="D94" s="74"/>
      <c r="E94" s="74"/>
      <c r="F94" s="74"/>
      <c r="G94" s="74"/>
      <c r="H94" s="74"/>
    </row>
    <row r="95" spans="1:8" ht="45" customHeight="1" x14ac:dyDescent="0.15">
      <c r="A95" s="73" t="s">
        <v>522</v>
      </c>
      <c r="B95" s="117" t="s">
        <v>523</v>
      </c>
      <c r="C95" s="74"/>
      <c r="D95" s="74"/>
      <c r="E95" s="74"/>
      <c r="F95" s="74"/>
      <c r="G95" s="74"/>
      <c r="H95" s="74"/>
    </row>
    <row r="96" spans="1:8" x14ac:dyDescent="0.15">
      <c r="A96" s="73" t="s">
        <v>524</v>
      </c>
      <c r="B96" s="96" t="s">
        <v>434</v>
      </c>
      <c r="C96" s="74"/>
      <c r="D96" s="74"/>
      <c r="E96" s="74"/>
      <c r="F96" s="74"/>
      <c r="G96" s="74"/>
      <c r="H96" s="74"/>
    </row>
    <row r="97" spans="1:8" x14ac:dyDescent="0.15">
      <c r="A97" s="73" t="s">
        <v>525</v>
      </c>
      <c r="B97" s="96" t="s">
        <v>502</v>
      </c>
      <c r="C97" s="74"/>
      <c r="D97" s="74"/>
      <c r="E97" s="74"/>
      <c r="F97" s="74"/>
      <c r="G97" s="74"/>
      <c r="H97" s="74"/>
    </row>
  </sheetData>
  <mergeCells count="1">
    <mergeCell ref="A18:F18"/>
  </mergeCells>
  <hyperlinks>
    <hyperlink ref="B19" r:id="rId1" location="L44-L72" xr:uid="{00000000-0004-0000-0600-000000000000}"/>
    <hyperlink ref="B96" r:id="rId2" location="L44-L72" xr:uid="{00000000-0004-0000-0600-000001000000}"/>
    <hyperlink ref="B97" r:id="rId3" location="L31" xr:uid="{00000000-0004-0000-0600-000002000000}"/>
  </hyperlinks>
  <pageMargins left="0.7" right="0.7" top="0.75" bottom="0.75" header="0.3" footer="0.3"/>
  <legacy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/>
  </sheetPr>
  <dimension ref="A1:F25"/>
  <sheetViews>
    <sheetView showGridLines="0" workbookViewId="0"/>
  </sheetViews>
  <sheetFormatPr baseColWidth="10" defaultRowHeight="14" x14ac:dyDescent="0.15"/>
  <cols>
    <col min="1" max="1" width="31.83203125" style="2" customWidth="1"/>
    <col min="2" max="2" width="24.6640625" style="2" customWidth="1"/>
    <col min="3" max="3" width="26.83203125" style="2" customWidth="1"/>
    <col min="4" max="6" width="10.83203125" style="2" customWidth="1"/>
    <col min="7" max="16384" width="10.83203125" style="2"/>
  </cols>
  <sheetData>
    <row r="1" spans="1:6" x14ac:dyDescent="0.15">
      <c r="A1" s="2" t="s">
        <v>526</v>
      </c>
    </row>
    <row r="3" spans="1:6" ht="15" customHeight="1" x14ac:dyDescent="0.15">
      <c r="A3" s="145" t="s">
        <v>145</v>
      </c>
      <c r="B3" s="147" t="s">
        <v>278</v>
      </c>
      <c r="C3" s="147" t="s">
        <v>527</v>
      </c>
      <c r="D3" s="147" t="s">
        <v>528</v>
      </c>
    </row>
    <row r="4" spans="1:6" x14ac:dyDescent="0.15">
      <c r="A4" s="2" t="s">
        <v>529</v>
      </c>
      <c r="B4" s="2" t="s">
        <v>530</v>
      </c>
      <c r="C4" s="148">
        <v>1000</v>
      </c>
      <c r="D4" s="149">
        <f t="shared" ref="D4:D13" si="0">C4/12</f>
        <v>83.333333333333329</v>
      </c>
      <c r="E4" s="151" t="s">
        <v>531</v>
      </c>
    </row>
    <row r="5" spans="1:6" x14ac:dyDescent="0.15">
      <c r="A5" s="2" t="s">
        <v>532</v>
      </c>
      <c r="B5" s="2" t="s">
        <v>533</v>
      </c>
      <c r="C5" s="148">
        <v>1400</v>
      </c>
      <c r="D5" s="149">
        <f t="shared" si="0"/>
        <v>116.66666666666667</v>
      </c>
      <c r="E5" s="151" t="s">
        <v>534</v>
      </c>
    </row>
    <row r="6" spans="1:6" x14ac:dyDescent="0.15">
      <c r="A6" s="2" t="s">
        <v>535</v>
      </c>
      <c r="B6" s="2" t="s">
        <v>536</v>
      </c>
      <c r="C6" s="148">
        <v>2000</v>
      </c>
      <c r="D6" s="149">
        <f t="shared" si="0"/>
        <v>166.66666666666666</v>
      </c>
      <c r="E6" s="151" t="s">
        <v>537</v>
      </c>
    </row>
    <row r="7" spans="1:6" x14ac:dyDescent="0.15">
      <c r="A7" s="2" t="s">
        <v>538</v>
      </c>
      <c r="B7" s="2" t="s">
        <v>539</v>
      </c>
      <c r="C7" s="148">
        <v>3000</v>
      </c>
      <c r="D7" s="149">
        <f t="shared" si="0"/>
        <v>250</v>
      </c>
      <c r="E7" s="151" t="s">
        <v>540</v>
      </c>
    </row>
    <row r="8" spans="1:6" x14ac:dyDescent="0.15">
      <c r="A8" s="2" t="s">
        <v>541</v>
      </c>
      <c r="B8" s="2" t="s">
        <v>542</v>
      </c>
      <c r="C8" s="148">
        <v>4000</v>
      </c>
      <c r="D8" s="149">
        <f t="shared" si="0"/>
        <v>333.33333333333331</v>
      </c>
      <c r="E8" s="151" t="s">
        <v>543</v>
      </c>
    </row>
    <row r="9" spans="1:6" x14ac:dyDescent="0.15">
      <c r="A9" s="2" t="s">
        <v>544</v>
      </c>
      <c r="B9" s="2" t="s">
        <v>545</v>
      </c>
      <c r="C9" s="148">
        <v>5000</v>
      </c>
      <c r="D9" s="149">
        <f t="shared" si="0"/>
        <v>416.66666666666669</v>
      </c>
      <c r="E9" s="151" t="s">
        <v>546</v>
      </c>
    </row>
    <row r="10" spans="1:6" x14ac:dyDescent="0.15">
      <c r="A10" s="2" t="s">
        <v>547</v>
      </c>
      <c r="B10" s="2" t="s">
        <v>548</v>
      </c>
      <c r="C10" s="148">
        <v>7000</v>
      </c>
      <c r="D10" s="149">
        <f t="shared" si="0"/>
        <v>583.33333333333337</v>
      </c>
      <c r="E10" s="151" t="s">
        <v>549</v>
      </c>
    </row>
    <row r="11" spans="1:6" x14ac:dyDescent="0.15">
      <c r="A11" s="2" t="s">
        <v>550</v>
      </c>
      <c r="B11" s="2" t="s">
        <v>551</v>
      </c>
      <c r="C11" s="148">
        <v>9000</v>
      </c>
      <c r="D11" s="149">
        <f t="shared" si="0"/>
        <v>750</v>
      </c>
      <c r="E11" s="151" t="s">
        <v>552</v>
      </c>
      <c r="F11" s="2" t="s">
        <v>553</v>
      </c>
    </row>
    <row r="12" spans="1:6" x14ac:dyDescent="0.15">
      <c r="A12" s="2" t="s">
        <v>554</v>
      </c>
      <c r="B12" s="2" t="s">
        <v>555</v>
      </c>
      <c r="C12" s="148">
        <v>14000</v>
      </c>
      <c r="D12" s="149">
        <f t="shared" si="0"/>
        <v>1166.6666666666667</v>
      </c>
      <c r="E12" s="151" t="s">
        <v>556</v>
      </c>
    </row>
    <row r="13" spans="1:6" x14ac:dyDescent="0.15">
      <c r="A13" s="2" t="s">
        <v>557</v>
      </c>
      <c r="B13" s="2" t="s">
        <v>558</v>
      </c>
      <c r="C13" s="148">
        <v>19000</v>
      </c>
      <c r="D13" s="149">
        <f t="shared" si="0"/>
        <v>1583.3333333333333</v>
      </c>
      <c r="E13" s="151" t="s">
        <v>559</v>
      </c>
      <c r="F13" s="1" t="s">
        <v>560</v>
      </c>
    </row>
    <row r="14" spans="1:6" x14ac:dyDescent="0.15">
      <c r="A14" s="2" t="s">
        <v>561</v>
      </c>
      <c r="C14" s="148"/>
      <c r="D14" s="149">
        <f>SUM(D4:D13)</f>
        <v>5450</v>
      </c>
    </row>
    <row r="17" spans="1:3" ht="15" customHeight="1" x14ac:dyDescent="0.15">
      <c r="A17" s="145" t="s">
        <v>145</v>
      </c>
      <c r="B17" s="147" t="s">
        <v>278</v>
      </c>
    </row>
    <row r="18" spans="1:3" x14ac:dyDescent="0.15">
      <c r="A18" s="2" t="s">
        <v>562</v>
      </c>
      <c r="B18" s="148">
        <v>166.66666670000001</v>
      </c>
      <c r="C18" s="2" t="s">
        <v>563</v>
      </c>
    </row>
    <row r="19" spans="1:3" x14ac:dyDescent="0.15">
      <c r="A19" s="2" t="s">
        <v>564</v>
      </c>
      <c r="B19" s="148">
        <v>219.17808220000001</v>
      </c>
      <c r="C19" s="2" t="s">
        <v>565</v>
      </c>
    </row>
    <row r="20" spans="1:3" x14ac:dyDescent="0.15">
      <c r="A20" s="2" t="s">
        <v>566</v>
      </c>
      <c r="B20" s="148">
        <v>556.16438359999995</v>
      </c>
      <c r="C20" s="2" t="s">
        <v>567</v>
      </c>
    </row>
    <row r="21" spans="1:3" x14ac:dyDescent="0.15">
      <c r="A21" s="4" t="s">
        <v>568</v>
      </c>
      <c r="B21" s="150">
        <v>271.23287670000002</v>
      </c>
      <c r="C21" s="2" t="s">
        <v>569</v>
      </c>
    </row>
    <row r="22" spans="1:3" x14ac:dyDescent="0.15">
      <c r="A22" s="2" t="s">
        <v>570</v>
      </c>
      <c r="B22" s="149">
        <f>SUM(B18:B21)</f>
        <v>1213.2420092</v>
      </c>
    </row>
    <row r="23" spans="1:3" x14ac:dyDescent="0.15">
      <c r="B23" s="149"/>
    </row>
    <row r="24" spans="1:3" x14ac:dyDescent="0.15">
      <c r="A24" s="2" t="s">
        <v>571</v>
      </c>
      <c r="B24" s="149">
        <f>B22+D14</f>
        <v>6663.2420092000002</v>
      </c>
    </row>
    <row r="25" spans="1:3" x14ac:dyDescent="0.15">
      <c r="A25" s="2" t="s">
        <v>572</v>
      </c>
      <c r="B25" s="149">
        <f>SUM(D4:D11,B18:B20)</f>
        <v>3642.0091324999999</v>
      </c>
    </row>
  </sheetData>
  <hyperlinks>
    <hyperlink ref="E4" r:id="rId1" xr:uid="{00000000-0004-0000-0700-000000000000}"/>
    <hyperlink ref="E5" r:id="rId2" xr:uid="{00000000-0004-0000-0700-000001000000}"/>
    <hyperlink ref="E6" r:id="rId3" xr:uid="{00000000-0004-0000-0700-000002000000}"/>
    <hyperlink ref="E7" r:id="rId4" xr:uid="{00000000-0004-0000-0700-000003000000}"/>
    <hyperlink ref="E8" r:id="rId5" xr:uid="{00000000-0004-0000-0700-000004000000}"/>
    <hyperlink ref="E9" r:id="rId6" xr:uid="{00000000-0004-0000-0700-000005000000}"/>
    <hyperlink ref="E10" r:id="rId7" xr:uid="{00000000-0004-0000-0700-000006000000}"/>
    <hyperlink ref="E11" r:id="rId8" xr:uid="{00000000-0004-0000-0700-000007000000}"/>
    <hyperlink ref="E12" r:id="rId9" xr:uid="{00000000-0004-0000-0700-000008000000}"/>
    <hyperlink ref="E13" r:id="rId10" xr:uid="{00000000-0004-0000-0700-000009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/>
  </sheetPr>
  <dimension ref="A1:P176"/>
  <sheetViews>
    <sheetView showGridLines="0" topLeftCell="A6" workbookViewId="0">
      <selection activeCell="E28" sqref="E28"/>
    </sheetView>
  </sheetViews>
  <sheetFormatPr baseColWidth="10" defaultRowHeight="14" x14ac:dyDescent="0.15"/>
  <cols>
    <col min="1" max="1" width="12.33203125" style="2" customWidth="1"/>
    <col min="2" max="3" width="10.83203125" style="2" customWidth="1"/>
    <col min="4" max="4" width="11.83203125" style="2" customWidth="1"/>
    <col min="5" max="5" width="15.6640625" style="2" customWidth="1"/>
    <col min="6" max="6" width="16.5" style="2" customWidth="1"/>
    <col min="7" max="7" width="52.33203125" style="2" customWidth="1"/>
    <col min="8" max="8" width="10.83203125" style="2" customWidth="1"/>
    <col min="9" max="16384" width="10.83203125" style="2"/>
  </cols>
  <sheetData>
    <row r="1" spans="1:16" x14ac:dyDescent="0.15">
      <c r="A1" s="2" t="s">
        <v>573</v>
      </c>
      <c r="B1" s="2" t="s">
        <v>574</v>
      </c>
      <c r="C1" s="2" t="s">
        <v>575</v>
      </c>
      <c r="D1" s="2" t="s">
        <v>576</v>
      </c>
      <c r="E1" s="2" t="s">
        <v>577</v>
      </c>
      <c r="F1" s="2" t="s">
        <v>578</v>
      </c>
      <c r="G1" s="2" t="s">
        <v>579</v>
      </c>
      <c r="J1" s="5" t="s">
        <v>580</v>
      </c>
      <c r="K1" s="6"/>
      <c r="L1" s="6"/>
      <c r="M1" s="6"/>
      <c r="N1" s="6"/>
      <c r="O1" s="6"/>
      <c r="P1" s="6"/>
    </row>
    <row r="2" spans="1:16" x14ac:dyDescent="0.15">
      <c r="A2" s="2" t="s">
        <v>0</v>
      </c>
      <c r="B2" s="2" t="s">
        <v>581</v>
      </c>
      <c r="C2" s="2">
        <v>2028</v>
      </c>
      <c r="D2" s="2" t="s">
        <v>582</v>
      </c>
      <c r="E2" s="2">
        <v>-85.1</v>
      </c>
      <c r="F2" s="2" t="s">
        <v>583</v>
      </c>
      <c r="G2" s="2" t="s">
        <v>584</v>
      </c>
      <c r="J2" s="207" t="s">
        <v>585</v>
      </c>
      <c r="K2" s="217" t="s">
        <v>69</v>
      </c>
      <c r="L2" s="217" t="s">
        <v>586</v>
      </c>
      <c r="M2" s="217" t="s">
        <v>587</v>
      </c>
      <c r="N2" s="217" t="s">
        <v>588</v>
      </c>
      <c r="O2" s="217" t="s">
        <v>589</v>
      </c>
      <c r="P2" s="217" t="s">
        <v>590</v>
      </c>
    </row>
    <row r="3" spans="1:16" x14ac:dyDescent="0.15">
      <c r="A3" s="2" t="s">
        <v>0</v>
      </c>
      <c r="B3" s="2" t="s">
        <v>591</v>
      </c>
      <c r="C3" s="2">
        <v>2028</v>
      </c>
      <c r="D3" s="2" t="s">
        <v>582</v>
      </c>
      <c r="E3" s="2">
        <v>121</v>
      </c>
      <c r="F3" s="2" t="s">
        <v>583</v>
      </c>
      <c r="G3" s="2" t="s">
        <v>592</v>
      </c>
      <c r="J3" s="2" t="s">
        <v>0</v>
      </c>
      <c r="K3" s="218">
        <v>2024</v>
      </c>
      <c r="L3" s="146">
        <f>OpenAI!B12</f>
        <v>3.7</v>
      </c>
      <c r="M3" s="146">
        <f t="shared" ref="M3:M13" si="0">SUMIFS($E:$E,$A:$A,$J3,$B:$B,"revenue",$C:$C,$K3,$F:$F,"chart_pixel_estimate")</f>
        <v>3.3</v>
      </c>
      <c r="N3" s="219">
        <f t="shared" ref="N3:N13" si="1">L3-M3</f>
        <v>0.40000000000000036</v>
      </c>
      <c r="O3" s="220">
        <f t="shared" ref="O3:O13" si="2">IFERROR(N3/M3,"")</f>
        <v>0.12121212121212133</v>
      </c>
      <c r="P3" s="218" t="str">
        <f t="shared" ref="P3:P13" si="3">IF(L3="","WSJ only",IF(ABS(O3)&gt;0.2,"⚠ check","ok"))</f>
        <v>ok</v>
      </c>
    </row>
    <row r="4" spans="1:16" x14ac:dyDescent="0.15">
      <c r="A4" s="2" t="s">
        <v>87</v>
      </c>
      <c r="B4" s="2" t="s">
        <v>581</v>
      </c>
      <c r="C4" s="2">
        <v>2024</v>
      </c>
      <c r="D4" s="2" t="s">
        <v>582</v>
      </c>
      <c r="E4" s="2">
        <v>-6</v>
      </c>
      <c r="F4" s="2" t="s">
        <v>593</v>
      </c>
      <c r="G4" s="2" t="s">
        <v>594</v>
      </c>
      <c r="J4" s="2" t="s">
        <v>0</v>
      </c>
      <c r="K4" s="218">
        <v>2025</v>
      </c>
      <c r="L4" s="146">
        <f>OpenAI!C12</f>
        <v>13.1</v>
      </c>
      <c r="M4" s="146">
        <f t="shared" si="0"/>
        <v>12.7</v>
      </c>
      <c r="N4" s="219">
        <f t="shared" si="1"/>
        <v>0.40000000000000036</v>
      </c>
      <c r="O4" s="220">
        <f t="shared" si="2"/>
        <v>3.1496062992126012E-2</v>
      </c>
      <c r="P4" s="218" t="str">
        <f t="shared" si="3"/>
        <v>ok</v>
      </c>
    </row>
    <row r="5" spans="1:16" x14ac:dyDescent="0.15">
      <c r="A5" s="2" t="s">
        <v>87</v>
      </c>
      <c r="B5" s="2" t="s">
        <v>581</v>
      </c>
      <c r="C5" s="2">
        <v>2025</v>
      </c>
      <c r="D5" s="2" t="s">
        <v>582</v>
      </c>
      <c r="E5" s="2">
        <v>-4</v>
      </c>
      <c r="F5" s="2" t="s">
        <v>593</v>
      </c>
      <c r="G5" s="2" t="s">
        <v>595</v>
      </c>
      <c r="J5" s="2" t="s">
        <v>0</v>
      </c>
      <c r="K5" s="218">
        <v>2026</v>
      </c>
      <c r="L5" s="146">
        <f>OpenAI!D12</f>
        <v>30</v>
      </c>
      <c r="M5" s="146">
        <f t="shared" si="0"/>
        <v>29.900000000000002</v>
      </c>
      <c r="N5" s="219">
        <f t="shared" si="1"/>
        <v>9.9999999999997868E-2</v>
      </c>
      <c r="O5" s="220">
        <f t="shared" si="2"/>
        <v>3.344481605351099E-3</v>
      </c>
      <c r="P5" s="218" t="str">
        <f t="shared" si="3"/>
        <v>ok</v>
      </c>
    </row>
    <row r="6" spans="1:16" x14ac:dyDescent="0.15">
      <c r="A6" s="2" t="s">
        <v>87</v>
      </c>
      <c r="B6" s="2" t="s">
        <v>581</v>
      </c>
      <c r="C6" s="2">
        <v>2026</v>
      </c>
      <c r="D6" s="2" t="s">
        <v>582</v>
      </c>
      <c r="E6" s="2">
        <v>-10.9</v>
      </c>
      <c r="F6" s="2" t="s">
        <v>593</v>
      </c>
      <c r="G6" s="2" t="s">
        <v>594</v>
      </c>
      <c r="J6" s="2" t="s">
        <v>0</v>
      </c>
      <c r="K6" s="218">
        <v>2027</v>
      </c>
      <c r="L6" s="146">
        <f>OpenAI!E12</f>
        <v>62</v>
      </c>
      <c r="M6" s="146">
        <f t="shared" si="0"/>
        <v>61.1</v>
      </c>
      <c r="N6" s="219">
        <f t="shared" si="1"/>
        <v>0.89999999999999858</v>
      </c>
      <c r="O6" s="220">
        <f t="shared" si="2"/>
        <v>1.4729950900163642E-2</v>
      </c>
      <c r="P6" s="218" t="str">
        <f t="shared" si="3"/>
        <v>ok</v>
      </c>
    </row>
    <row r="7" spans="1:16" x14ac:dyDescent="0.15">
      <c r="A7" s="2" t="s">
        <v>87</v>
      </c>
      <c r="B7" s="2" t="s">
        <v>581</v>
      </c>
      <c r="C7" s="2">
        <v>2027</v>
      </c>
      <c r="D7" s="2" t="s">
        <v>582</v>
      </c>
      <c r="E7" s="2">
        <v>-11.3</v>
      </c>
      <c r="F7" s="2" t="s">
        <v>593</v>
      </c>
      <c r="G7" s="2" t="s">
        <v>594</v>
      </c>
      <c r="J7" s="2" t="s">
        <v>0</v>
      </c>
      <c r="K7" s="218">
        <v>2028</v>
      </c>
      <c r="L7" s="146">
        <f>OpenAI!F12</f>
        <v>112.9</v>
      </c>
      <c r="M7" s="146">
        <f t="shared" si="0"/>
        <v>112.19999999999999</v>
      </c>
      <c r="N7" s="219">
        <f t="shared" si="1"/>
        <v>0.70000000000001705</v>
      </c>
      <c r="O7" s="220">
        <f t="shared" si="2"/>
        <v>6.2388591800358034E-3</v>
      </c>
      <c r="P7" s="218" t="str">
        <f t="shared" si="3"/>
        <v>ok</v>
      </c>
    </row>
    <row r="8" spans="1:16" x14ac:dyDescent="0.15">
      <c r="A8" s="2" t="s">
        <v>87</v>
      </c>
      <c r="B8" s="2" t="s">
        <v>581</v>
      </c>
      <c r="C8" s="2">
        <v>2028</v>
      </c>
      <c r="D8" s="2" t="s">
        <v>582</v>
      </c>
      <c r="E8" s="2">
        <v>2.2999999999999998</v>
      </c>
      <c r="F8" s="2" t="s">
        <v>593</v>
      </c>
      <c r="G8" s="2" t="s">
        <v>594</v>
      </c>
      <c r="J8" s="2" t="s">
        <v>0</v>
      </c>
      <c r="K8" s="218">
        <v>2029</v>
      </c>
      <c r="L8" s="146">
        <f>OpenAI!G12</f>
        <v>184</v>
      </c>
      <c r="M8" s="146">
        <f t="shared" si="0"/>
        <v>183.10000000000002</v>
      </c>
      <c r="N8" s="219">
        <f t="shared" si="1"/>
        <v>0.89999999999997726</v>
      </c>
      <c r="O8" s="220">
        <f t="shared" si="2"/>
        <v>4.9153468050244517E-3</v>
      </c>
      <c r="P8" s="218" t="str">
        <f t="shared" si="3"/>
        <v>ok</v>
      </c>
    </row>
    <row r="9" spans="1:16" x14ac:dyDescent="0.15">
      <c r="A9" s="2" t="s">
        <v>87</v>
      </c>
      <c r="B9" s="2" t="s">
        <v>581</v>
      </c>
      <c r="C9" s="2">
        <v>2029</v>
      </c>
      <c r="D9" s="2" t="s">
        <v>582</v>
      </c>
      <c r="E9" s="2">
        <v>17.899999999999999</v>
      </c>
      <c r="F9" s="2" t="s">
        <v>593</v>
      </c>
      <c r="G9" s="2" t="s">
        <v>594</v>
      </c>
      <c r="J9" s="2" t="s">
        <v>87</v>
      </c>
      <c r="K9" s="218">
        <v>2025</v>
      </c>
      <c r="L9" s="146">
        <f>Anthropic!C9</f>
        <v>4.5</v>
      </c>
      <c r="M9" s="146">
        <f t="shared" si="0"/>
        <v>4.3</v>
      </c>
      <c r="N9" s="219">
        <f t="shared" si="1"/>
        <v>0.20000000000000018</v>
      </c>
      <c r="O9" s="220">
        <f t="shared" si="2"/>
        <v>4.6511627906976785E-2</v>
      </c>
      <c r="P9" s="218" t="str">
        <f t="shared" si="3"/>
        <v>ok</v>
      </c>
    </row>
    <row r="10" spans="1:16" x14ac:dyDescent="0.15">
      <c r="A10" s="2" t="s">
        <v>87</v>
      </c>
      <c r="B10" s="2" t="s">
        <v>591</v>
      </c>
      <c r="C10" s="2">
        <v>2024</v>
      </c>
      <c r="D10" s="2" t="s">
        <v>582</v>
      </c>
      <c r="E10" s="2">
        <v>1</v>
      </c>
      <c r="F10" s="2" t="s">
        <v>593</v>
      </c>
      <c r="G10" s="2" t="s">
        <v>594</v>
      </c>
      <c r="J10" s="2" t="s">
        <v>87</v>
      </c>
      <c r="K10" s="218">
        <v>2026</v>
      </c>
      <c r="L10" s="146">
        <f>Anthropic!D9</f>
        <v>18</v>
      </c>
      <c r="M10" s="146">
        <f t="shared" si="0"/>
        <v>17.899999999999999</v>
      </c>
      <c r="N10" s="219">
        <f t="shared" si="1"/>
        <v>0.10000000000000142</v>
      </c>
      <c r="O10" s="220">
        <f t="shared" si="2"/>
        <v>5.5865921787710297E-3</v>
      </c>
      <c r="P10" s="218" t="str">
        <f t="shared" si="3"/>
        <v>ok</v>
      </c>
    </row>
    <row r="11" spans="1:16" x14ac:dyDescent="0.15">
      <c r="A11" s="2" t="s">
        <v>87</v>
      </c>
      <c r="B11" s="2" t="s">
        <v>591</v>
      </c>
      <c r="C11" s="2">
        <v>2025</v>
      </c>
      <c r="D11" s="2" t="s">
        <v>582</v>
      </c>
      <c r="E11" s="2">
        <v>3.3</v>
      </c>
      <c r="F11" s="2" t="s">
        <v>593</v>
      </c>
      <c r="G11" s="2" t="s">
        <v>595</v>
      </c>
      <c r="J11" s="2" t="s">
        <v>87</v>
      </c>
      <c r="K11" s="218">
        <v>2027</v>
      </c>
      <c r="L11" s="146">
        <f>Anthropic!E9</f>
        <v>55</v>
      </c>
      <c r="M11" s="146">
        <f t="shared" si="0"/>
        <v>54.1</v>
      </c>
      <c r="N11" s="219">
        <f t="shared" si="1"/>
        <v>0.89999999999999858</v>
      </c>
      <c r="O11" s="220">
        <f t="shared" si="2"/>
        <v>1.6635859519408477E-2</v>
      </c>
      <c r="P11" s="218" t="str">
        <f t="shared" si="3"/>
        <v>ok</v>
      </c>
    </row>
    <row r="12" spans="1:16" x14ac:dyDescent="0.15">
      <c r="A12" s="2" t="s">
        <v>87</v>
      </c>
      <c r="B12" s="2" t="s">
        <v>591</v>
      </c>
      <c r="C12" s="2">
        <v>2026</v>
      </c>
      <c r="D12" s="2" t="s">
        <v>582</v>
      </c>
      <c r="E12" s="2">
        <v>11.7</v>
      </c>
      <c r="F12" s="2" t="s">
        <v>593</v>
      </c>
      <c r="G12" s="2" t="s">
        <v>594</v>
      </c>
      <c r="J12" s="2" t="s">
        <v>87</v>
      </c>
      <c r="K12" s="218">
        <v>2028</v>
      </c>
      <c r="L12" s="146">
        <f>Anthropic!F9</f>
        <v>102</v>
      </c>
      <c r="M12" s="146">
        <f t="shared" si="0"/>
        <v>101.3</v>
      </c>
      <c r="N12" s="219">
        <f t="shared" si="1"/>
        <v>0.70000000000000284</v>
      </c>
      <c r="O12" s="220">
        <f t="shared" si="2"/>
        <v>6.910167818361331E-3</v>
      </c>
      <c r="P12" s="218" t="str">
        <f t="shared" si="3"/>
        <v>ok</v>
      </c>
    </row>
    <row r="13" spans="1:16" x14ac:dyDescent="0.15">
      <c r="A13" s="2" t="s">
        <v>87</v>
      </c>
      <c r="B13" s="2" t="s">
        <v>591</v>
      </c>
      <c r="C13" s="2">
        <v>2027</v>
      </c>
      <c r="D13" s="2" t="s">
        <v>582</v>
      </c>
      <c r="E13" s="2">
        <v>22</v>
      </c>
      <c r="F13" s="2" t="s">
        <v>593</v>
      </c>
      <c r="G13" s="2" t="s">
        <v>594</v>
      </c>
      <c r="J13" s="2" t="s">
        <v>87</v>
      </c>
      <c r="K13" s="218">
        <v>2029</v>
      </c>
      <c r="L13" s="218"/>
      <c r="M13" s="146">
        <f t="shared" si="0"/>
        <v>146.20000000000002</v>
      </c>
      <c r="N13" s="219">
        <f t="shared" si="1"/>
        <v>-146.20000000000002</v>
      </c>
      <c r="O13" s="220">
        <f t="shared" si="2"/>
        <v>-1</v>
      </c>
      <c r="P13" s="218" t="str">
        <f t="shared" si="3"/>
        <v>WSJ only</v>
      </c>
    </row>
    <row r="14" spans="1:16" x14ac:dyDescent="0.15">
      <c r="A14" s="2" t="s">
        <v>87</v>
      </c>
      <c r="B14" s="2" t="s">
        <v>591</v>
      </c>
      <c r="C14" s="2">
        <v>2028</v>
      </c>
      <c r="D14" s="2" t="s">
        <v>582</v>
      </c>
      <c r="E14" s="2">
        <v>29.7</v>
      </c>
      <c r="F14" s="2" t="s">
        <v>593</v>
      </c>
      <c r="G14" s="2" t="s">
        <v>594</v>
      </c>
    </row>
    <row r="15" spans="1:16" x14ac:dyDescent="0.15">
      <c r="A15" s="2" t="s">
        <v>87</v>
      </c>
      <c r="B15" s="2" t="s">
        <v>591</v>
      </c>
      <c r="C15" s="2">
        <v>2029</v>
      </c>
      <c r="D15" s="2" t="s">
        <v>582</v>
      </c>
      <c r="E15" s="2">
        <v>36.700000000000003</v>
      </c>
      <c r="F15" s="2" t="s">
        <v>593</v>
      </c>
      <c r="G15" s="2" t="s">
        <v>594</v>
      </c>
    </row>
    <row r="16" spans="1:16" x14ac:dyDescent="0.15">
      <c r="A16" s="2" t="s">
        <v>87</v>
      </c>
      <c r="B16" s="2" t="s">
        <v>596</v>
      </c>
      <c r="C16" s="2">
        <v>2024</v>
      </c>
      <c r="D16" s="2" t="s">
        <v>582</v>
      </c>
      <c r="E16" s="2">
        <v>-1.3</v>
      </c>
      <c r="F16" s="2" t="s">
        <v>593</v>
      </c>
      <c r="G16" s="2" t="s">
        <v>597</v>
      </c>
    </row>
    <row r="17" spans="1:7" x14ac:dyDescent="0.15">
      <c r="A17" s="2" t="s">
        <v>87</v>
      </c>
      <c r="B17" s="2" t="s">
        <v>596</v>
      </c>
      <c r="C17" s="2">
        <v>2025</v>
      </c>
      <c r="D17" s="2" t="s">
        <v>582</v>
      </c>
      <c r="E17" s="2">
        <v>-1.2</v>
      </c>
      <c r="F17" s="2" t="s">
        <v>593</v>
      </c>
      <c r="G17" s="2" t="s">
        <v>598</v>
      </c>
    </row>
    <row r="18" spans="1:7" x14ac:dyDescent="0.15">
      <c r="A18" s="2" t="s">
        <v>87</v>
      </c>
      <c r="B18" s="2" t="s">
        <v>596</v>
      </c>
      <c r="C18" s="2">
        <v>2026</v>
      </c>
      <c r="D18" s="2" t="s">
        <v>582</v>
      </c>
      <c r="E18" s="2">
        <v>1.3</v>
      </c>
      <c r="F18" s="2" t="s">
        <v>593</v>
      </c>
      <c r="G18" s="2" t="s">
        <v>597</v>
      </c>
    </row>
    <row r="19" spans="1:7" x14ac:dyDescent="0.15">
      <c r="A19" s="2" t="s">
        <v>87</v>
      </c>
      <c r="B19" s="2" t="s">
        <v>596</v>
      </c>
      <c r="C19" s="2">
        <v>2027</v>
      </c>
      <c r="D19" s="2" t="s">
        <v>582</v>
      </c>
      <c r="E19" s="2">
        <v>14</v>
      </c>
      <c r="F19" s="2" t="s">
        <v>593</v>
      </c>
      <c r="G19" s="2" t="s">
        <v>597</v>
      </c>
    </row>
    <row r="20" spans="1:7" x14ac:dyDescent="0.15">
      <c r="A20" s="2" t="s">
        <v>87</v>
      </c>
      <c r="B20" s="2" t="s">
        <v>596</v>
      </c>
      <c r="C20" s="2">
        <v>2028</v>
      </c>
      <c r="D20" s="2" t="s">
        <v>582</v>
      </c>
      <c r="E20" s="2">
        <v>35.700000000000003</v>
      </c>
      <c r="F20" s="2" t="s">
        <v>593</v>
      </c>
      <c r="G20" s="2" t="s">
        <v>597</v>
      </c>
    </row>
    <row r="21" spans="1:7" x14ac:dyDescent="0.15">
      <c r="A21" s="2" t="s">
        <v>87</v>
      </c>
      <c r="B21" s="2" t="s">
        <v>596</v>
      </c>
      <c r="C21" s="2">
        <v>2029</v>
      </c>
      <c r="D21" s="2" t="s">
        <v>582</v>
      </c>
      <c r="E21" s="2">
        <v>58.7</v>
      </c>
      <c r="F21" s="2" t="s">
        <v>593</v>
      </c>
      <c r="G21" s="2" t="s">
        <v>597</v>
      </c>
    </row>
    <row r="22" spans="1:7" x14ac:dyDescent="0.15">
      <c r="A22" s="2" t="s">
        <v>87</v>
      </c>
      <c r="B22" s="2" t="s">
        <v>599</v>
      </c>
      <c r="C22" s="2">
        <v>2024</v>
      </c>
      <c r="D22" s="2" t="s">
        <v>582</v>
      </c>
      <c r="E22" s="2">
        <v>-3</v>
      </c>
      <c r="F22" s="2" t="s">
        <v>593</v>
      </c>
      <c r="G22" s="2" t="s">
        <v>600</v>
      </c>
    </row>
    <row r="23" spans="1:7" x14ac:dyDescent="0.15">
      <c r="A23" s="2" t="s">
        <v>87</v>
      </c>
      <c r="B23" s="2" t="s">
        <v>599</v>
      </c>
      <c r="C23" s="2">
        <v>2025</v>
      </c>
      <c r="D23" s="2" t="s">
        <v>582</v>
      </c>
      <c r="E23" s="2">
        <v>-5.3</v>
      </c>
      <c r="F23" s="2" t="s">
        <v>593</v>
      </c>
      <c r="G23" s="2" t="s">
        <v>595</v>
      </c>
    </row>
    <row r="24" spans="1:7" x14ac:dyDescent="0.15">
      <c r="A24" s="2" t="s">
        <v>87</v>
      </c>
      <c r="B24" s="2" t="s">
        <v>599</v>
      </c>
      <c r="C24" s="2">
        <v>2026</v>
      </c>
      <c r="D24" s="2" t="s">
        <v>582</v>
      </c>
      <c r="E24" s="2">
        <v>-11</v>
      </c>
      <c r="F24" s="2" t="s">
        <v>593</v>
      </c>
      <c r="G24" s="2" t="s">
        <v>594</v>
      </c>
    </row>
    <row r="25" spans="1:7" x14ac:dyDescent="0.15">
      <c r="A25" s="2" t="s">
        <v>87</v>
      </c>
      <c r="B25" s="2" t="s">
        <v>599</v>
      </c>
      <c r="C25" s="2">
        <v>2027</v>
      </c>
      <c r="D25" s="2" t="s">
        <v>582</v>
      </c>
      <c r="E25" s="2">
        <v>-8.6999999999999993</v>
      </c>
      <c r="F25" s="2" t="s">
        <v>593</v>
      </c>
      <c r="G25" s="2" t="s">
        <v>594</v>
      </c>
    </row>
    <row r="26" spans="1:7" x14ac:dyDescent="0.15">
      <c r="A26" s="2" t="s">
        <v>87</v>
      </c>
      <c r="B26" s="2" t="s">
        <v>599</v>
      </c>
      <c r="C26" s="2">
        <v>2028</v>
      </c>
      <c r="D26" s="2" t="s">
        <v>582</v>
      </c>
      <c r="E26" s="2">
        <v>5.7</v>
      </c>
      <c r="F26" s="2" t="s">
        <v>593</v>
      </c>
      <c r="G26" s="2" t="s">
        <v>594</v>
      </c>
    </row>
    <row r="27" spans="1:7" x14ac:dyDescent="0.15">
      <c r="A27" s="2" t="s">
        <v>87</v>
      </c>
      <c r="B27" s="2" t="s">
        <v>599</v>
      </c>
      <c r="C27" s="2">
        <v>2029</v>
      </c>
      <c r="D27" s="2" t="s">
        <v>582</v>
      </c>
      <c r="E27" s="2">
        <v>21.3</v>
      </c>
      <c r="F27" s="2" t="s">
        <v>593</v>
      </c>
      <c r="G27" s="2" t="s">
        <v>594</v>
      </c>
    </row>
    <row r="28" spans="1:7" x14ac:dyDescent="0.15">
      <c r="A28" s="2" t="s">
        <v>87</v>
      </c>
      <c r="B28" s="2" t="s">
        <v>601</v>
      </c>
      <c r="C28" s="2">
        <v>2025</v>
      </c>
      <c r="D28" s="2" t="s">
        <v>602</v>
      </c>
      <c r="E28" s="2">
        <v>0</v>
      </c>
      <c r="F28" s="2" t="s">
        <v>593</v>
      </c>
      <c r="G28" s="2" t="s">
        <v>594</v>
      </c>
    </row>
    <row r="29" spans="1:7" x14ac:dyDescent="0.15">
      <c r="A29" s="2" t="s">
        <v>87</v>
      </c>
      <c r="B29" s="2" t="s">
        <v>601</v>
      </c>
      <c r="C29" s="2">
        <v>2025</v>
      </c>
      <c r="D29" s="2" t="s">
        <v>603</v>
      </c>
      <c r="E29" s="2">
        <v>4.3</v>
      </c>
      <c r="F29" s="2" t="s">
        <v>593</v>
      </c>
      <c r="G29" s="2" t="s">
        <v>595</v>
      </c>
    </row>
    <row r="30" spans="1:7" x14ac:dyDescent="0.15">
      <c r="A30" s="2" t="s">
        <v>87</v>
      </c>
      <c r="B30" s="2" t="s">
        <v>601</v>
      </c>
      <c r="C30" s="2">
        <v>2026</v>
      </c>
      <c r="D30" s="2" t="s">
        <v>602</v>
      </c>
      <c r="E30" s="2">
        <v>2</v>
      </c>
      <c r="F30" s="2" t="s">
        <v>593</v>
      </c>
      <c r="G30" s="2" t="s">
        <v>594</v>
      </c>
    </row>
    <row r="31" spans="1:7" x14ac:dyDescent="0.15">
      <c r="A31" s="2" t="s">
        <v>87</v>
      </c>
      <c r="B31" s="2" t="s">
        <v>601</v>
      </c>
      <c r="C31" s="2">
        <v>2026</v>
      </c>
      <c r="D31" s="2" t="s">
        <v>603</v>
      </c>
      <c r="E31" s="2">
        <v>15.9</v>
      </c>
      <c r="F31" s="2" t="s">
        <v>593</v>
      </c>
      <c r="G31" s="2" t="s">
        <v>594</v>
      </c>
    </row>
    <row r="32" spans="1:7" x14ac:dyDescent="0.15">
      <c r="A32" s="2" t="s">
        <v>87</v>
      </c>
      <c r="B32" s="2" t="s">
        <v>601</v>
      </c>
      <c r="C32" s="2">
        <v>2027</v>
      </c>
      <c r="D32" s="2" t="s">
        <v>602</v>
      </c>
      <c r="E32" s="2">
        <v>6.6</v>
      </c>
      <c r="F32" s="2" t="s">
        <v>593</v>
      </c>
      <c r="G32" s="2" t="s">
        <v>594</v>
      </c>
    </row>
    <row r="33" spans="1:7" x14ac:dyDescent="0.15">
      <c r="A33" s="2" t="s">
        <v>87</v>
      </c>
      <c r="B33" s="2" t="s">
        <v>601</v>
      </c>
      <c r="C33" s="2">
        <v>2027</v>
      </c>
      <c r="D33" s="2" t="s">
        <v>603</v>
      </c>
      <c r="E33" s="2">
        <v>47.5</v>
      </c>
      <c r="F33" s="2" t="s">
        <v>593</v>
      </c>
      <c r="G33" s="2" t="s">
        <v>594</v>
      </c>
    </row>
    <row r="34" spans="1:7" x14ac:dyDescent="0.15">
      <c r="A34" s="2" t="s">
        <v>87</v>
      </c>
      <c r="B34" s="2" t="s">
        <v>601</v>
      </c>
      <c r="C34" s="2">
        <v>2028</v>
      </c>
      <c r="D34" s="2" t="s">
        <v>602</v>
      </c>
      <c r="E34" s="2">
        <v>12.6</v>
      </c>
      <c r="F34" s="2" t="s">
        <v>593</v>
      </c>
      <c r="G34" s="2" t="s">
        <v>594</v>
      </c>
    </row>
    <row r="35" spans="1:7" x14ac:dyDescent="0.15">
      <c r="A35" s="2" t="s">
        <v>87</v>
      </c>
      <c r="B35" s="2" t="s">
        <v>601</v>
      </c>
      <c r="C35" s="2">
        <v>2028</v>
      </c>
      <c r="D35" s="2" t="s">
        <v>603</v>
      </c>
      <c r="E35" s="2">
        <v>88.7</v>
      </c>
      <c r="F35" s="2" t="s">
        <v>593</v>
      </c>
      <c r="G35" s="2" t="s">
        <v>594</v>
      </c>
    </row>
    <row r="36" spans="1:7" x14ac:dyDescent="0.15">
      <c r="A36" s="2" t="s">
        <v>87</v>
      </c>
      <c r="B36" s="2" t="s">
        <v>601</v>
      </c>
      <c r="C36" s="2">
        <v>2029</v>
      </c>
      <c r="D36" s="2" t="s">
        <v>602</v>
      </c>
      <c r="E36" s="2">
        <v>17.3</v>
      </c>
      <c r="F36" s="2" t="s">
        <v>593</v>
      </c>
      <c r="G36" s="2" t="s">
        <v>594</v>
      </c>
    </row>
    <row r="37" spans="1:7" x14ac:dyDescent="0.15">
      <c r="A37" s="2" t="s">
        <v>87</v>
      </c>
      <c r="B37" s="2" t="s">
        <v>601</v>
      </c>
      <c r="C37" s="2">
        <v>2029</v>
      </c>
      <c r="D37" s="2" t="s">
        <v>603</v>
      </c>
      <c r="E37" s="2">
        <v>128.9</v>
      </c>
      <c r="F37" s="2" t="s">
        <v>593</v>
      </c>
      <c r="G37" s="2" t="s">
        <v>594</v>
      </c>
    </row>
    <row r="38" spans="1:7" x14ac:dyDescent="0.15">
      <c r="A38" s="2" t="s">
        <v>0</v>
      </c>
      <c r="B38" s="2" t="s">
        <v>581</v>
      </c>
      <c r="C38" s="2">
        <v>2024</v>
      </c>
      <c r="D38" s="2" t="s">
        <v>582</v>
      </c>
      <c r="E38" s="2">
        <v>-2</v>
      </c>
      <c r="F38" s="2" t="s">
        <v>593</v>
      </c>
      <c r="G38" s="2" t="s">
        <v>594</v>
      </c>
    </row>
    <row r="39" spans="1:7" x14ac:dyDescent="0.15">
      <c r="A39" s="2" t="s">
        <v>0</v>
      </c>
      <c r="B39" s="2" t="s">
        <v>581</v>
      </c>
      <c r="C39" s="2">
        <v>2025</v>
      </c>
      <c r="D39" s="2" t="s">
        <v>582</v>
      </c>
      <c r="E39" s="2">
        <v>-7.9</v>
      </c>
      <c r="F39" s="2" t="s">
        <v>593</v>
      </c>
      <c r="G39" s="2" t="s">
        <v>594</v>
      </c>
    </row>
    <row r="40" spans="1:7" x14ac:dyDescent="0.15">
      <c r="A40" s="2" t="s">
        <v>0</v>
      </c>
      <c r="B40" s="2" t="s">
        <v>581</v>
      </c>
      <c r="C40" s="2">
        <v>2026</v>
      </c>
      <c r="D40" s="2" t="s">
        <v>582</v>
      </c>
      <c r="E40" s="2">
        <v>-25.2</v>
      </c>
      <c r="F40" s="2" t="s">
        <v>593</v>
      </c>
      <c r="G40" s="2" t="s">
        <v>594</v>
      </c>
    </row>
    <row r="41" spans="1:7" x14ac:dyDescent="0.15">
      <c r="A41" s="2" t="s">
        <v>0</v>
      </c>
      <c r="B41" s="2" t="s">
        <v>581</v>
      </c>
      <c r="C41" s="2">
        <v>2027</v>
      </c>
      <c r="D41" s="2" t="s">
        <v>582</v>
      </c>
      <c r="E41" s="2">
        <v>-57.3</v>
      </c>
      <c r="F41" s="2" t="s">
        <v>593</v>
      </c>
      <c r="G41" s="2" t="s">
        <v>594</v>
      </c>
    </row>
    <row r="42" spans="1:7" x14ac:dyDescent="0.15">
      <c r="A42" s="2" t="s">
        <v>0</v>
      </c>
      <c r="B42" s="2" t="s">
        <v>581</v>
      </c>
      <c r="C42" s="2">
        <v>2029</v>
      </c>
      <c r="D42" s="2" t="s">
        <v>582</v>
      </c>
      <c r="E42" s="2">
        <v>-51.3</v>
      </c>
      <c r="F42" s="2" t="s">
        <v>593</v>
      </c>
      <c r="G42" s="2" t="s">
        <v>594</v>
      </c>
    </row>
    <row r="43" spans="1:7" x14ac:dyDescent="0.15">
      <c r="A43" s="2" t="s">
        <v>0</v>
      </c>
      <c r="B43" s="2" t="s">
        <v>581</v>
      </c>
      <c r="C43" s="2">
        <v>2030</v>
      </c>
      <c r="D43" s="2" t="s">
        <v>582</v>
      </c>
      <c r="E43" s="2">
        <v>38.700000000000003</v>
      </c>
      <c r="F43" s="2" t="s">
        <v>593</v>
      </c>
      <c r="G43" s="2" t="s">
        <v>594</v>
      </c>
    </row>
    <row r="44" spans="1:7" x14ac:dyDescent="0.15">
      <c r="A44" s="2" t="s">
        <v>0</v>
      </c>
      <c r="B44" s="2" t="s">
        <v>591</v>
      </c>
      <c r="C44" s="2">
        <v>2024</v>
      </c>
      <c r="D44" s="2" t="s">
        <v>582</v>
      </c>
      <c r="E44" s="2">
        <v>2.7</v>
      </c>
      <c r="F44" s="2" t="s">
        <v>593</v>
      </c>
      <c r="G44" s="2" t="s">
        <v>594</v>
      </c>
    </row>
    <row r="45" spans="1:7" x14ac:dyDescent="0.15">
      <c r="A45" s="2" t="s">
        <v>0</v>
      </c>
      <c r="B45" s="2" t="s">
        <v>591</v>
      </c>
      <c r="C45" s="2">
        <v>2025</v>
      </c>
      <c r="D45" s="2" t="s">
        <v>582</v>
      </c>
      <c r="E45" s="2">
        <v>7.7</v>
      </c>
      <c r="F45" s="2" t="s">
        <v>593</v>
      </c>
      <c r="G45" s="2" t="s">
        <v>594</v>
      </c>
    </row>
    <row r="46" spans="1:7" x14ac:dyDescent="0.15">
      <c r="A46" s="2" t="s">
        <v>0</v>
      </c>
      <c r="B46" s="2" t="s">
        <v>591</v>
      </c>
      <c r="C46" s="2">
        <v>2026</v>
      </c>
      <c r="D46" s="2" t="s">
        <v>582</v>
      </c>
      <c r="E46" s="2">
        <v>31</v>
      </c>
      <c r="F46" s="2" t="s">
        <v>593</v>
      </c>
      <c r="G46" s="2" t="s">
        <v>594</v>
      </c>
    </row>
    <row r="47" spans="1:7" x14ac:dyDescent="0.15">
      <c r="A47" s="2" t="s">
        <v>0</v>
      </c>
      <c r="B47" s="2" t="s">
        <v>591</v>
      </c>
      <c r="C47" s="2">
        <v>2027</v>
      </c>
      <c r="D47" s="2" t="s">
        <v>582</v>
      </c>
      <c r="E47" s="2">
        <v>64</v>
      </c>
      <c r="F47" s="2" t="s">
        <v>593</v>
      </c>
      <c r="G47" s="2" t="s">
        <v>594</v>
      </c>
    </row>
    <row r="48" spans="1:7" x14ac:dyDescent="0.15">
      <c r="A48" s="2" t="s">
        <v>0</v>
      </c>
      <c r="B48" s="2" t="s">
        <v>591</v>
      </c>
      <c r="C48" s="2">
        <v>2029</v>
      </c>
      <c r="D48" s="2" t="s">
        <v>582</v>
      </c>
      <c r="E48" s="2">
        <v>124.3</v>
      </c>
      <c r="F48" s="2" t="s">
        <v>593</v>
      </c>
      <c r="G48" s="2" t="s">
        <v>594</v>
      </c>
    </row>
    <row r="49" spans="1:7" x14ac:dyDescent="0.15">
      <c r="A49" s="2" t="s">
        <v>0</v>
      </c>
      <c r="B49" s="2" t="s">
        <v>591</v>
      </c>
      <c r="C49" s="2">
        <v>2030</v>
      </c>
      <c r="D49" s="2" t="s">
        <v>582</v>
      </c>
      <c r="E49" s="2">
        <v>96.7</v>
      </c>
      <c r="F49" s="2" t="s">
        <v>593</v>
      </c>
      <c r="G49" s="2" t="s">
        <v>594</v>
      </c>
    </row>
    <row r="50" spans="1:7" x14ac:dyDescent="0.15">
      <c r="A50" s="2" t="s">
        <v>0</v>
      </c>
      <c r="B50" s="2" t="s">
        <v>596</v>
      </c>
      <c r="C50" s="2">
        <v>2024</v>
      </c>
      <c r="D50" s="2" t="s">
        <v>582</v>
      </c>
      <c r="E50" s="2">
        <v>-0.5</v>
      </c>
      <c r="F50" s="2" t="s">
        <v>593</v>
      </c>
      <c r="G50" s="2" t="s">
        <v>597</v>
      </c>
    </row>
    <row r="51" spans="1:7" x14ac:dyDescent="0.15">
      <c r="A51" s="2" t="s">
        <v>0</v>
      </c>
      <c r="B51" s="2" t="s">
        <v>596</v>
      </c>
      <c r="C51" s="2">
        <v>2025</v>
      </c>
      <c r="D51" s="2" t="s">
        <v>582</v>
      </c>
      <c r="E51" s="2">
        <v>-4</v>
      </c>
      <c r="F51" s="2" t="s">
        <v>593</v>
      </c>
      <c r="G51" s="2" t="s">
        <v>597</v>
      </c>
    </row>
    <row r="52" spans="1:7" x14ac:dyDescent="0.15">
      <c r="A52" s="2" t="s">
        <v>0</v>
      </c>
      <c r="B52" s="2" t="s">
        <v>596</v>
      </c>
      <c r="C52" s="2">
        <v>2026</v>
      </c>
      <c r="D52" s="2" t="s">
        <v>582</v>
      </c>
      <c r="E52" s="2">
        <v>0.2</v>
      </c>
      <c r="F52" s="2" t="s">
        <v>593</v>
      </c>
      <c r="G52" s="2" t="s">
        <v>597</v>
      </c>
    </row>
    <row r="53" spans="1:7" x14ac:dyDescent="0.15">
      <c r="A53" s="2" t="s">
        <v>0</v>
      </c>
      <c r="B53" s="2" t="s">
        <v>596</v>
      </c>
      <c r="C53" s="2">
        <v>2027</v>
      </c>
      <c r="D53" s="2" t="s">
        <v>582</v>
      </c>
      <c r="E53" s="2">
        <v>11.3</v>
      </c>
      <c r="F53" s="2" t="s">
        <v>593</v>
      </c>
      <c r="G53" s="2" t="s">
        <v>597</v>
      </c>
    </row>
    <row r="54" spans="1:7" x14ac:dyDescent="0.15">
      <c r="A54" s="2" t="s">
        <v>0</v>
      </c>
      <c r="B54" s="2" t="s">
        <v>596</v>
      </c>
      <c r="C54" s="2">
        <v>2028</v>
      </c>
      <c r="D54" s="2" t="s">
        <v>582</v>
      </c>
      <c r="E54" s="2">
        <v>38.5</v>
      </c>
      <c r="F54" s="2" t="s">
        <v>593</v>
      </c>
      <c r="G54" s="2" t="s">
        <v>597</v>
      </c>
    </row>
    <row r="55" spans="1:7" x14ac:dyDescent="0.15">
      <c r="A55" s="2" t="s">
        <v>0</v>
      </c>
      <c r="B55" s="2" t="s">
        <v>596</v>
      </c>
      <c r="C55" s="2">
        <v>2029</v>
      </c>
      <c r="D55" s="2" t="s">
        <v>582</v>
      </c>
      <c r="E55" s="2">
        <v>81.5</v>
      </c>
      <c r="F55" s="2" t="s">
        <v>593</v>
      </c>
      <c r="G55" s="2" t="s">
        <v>597</v>
      </c>
    </row>
    <row r="56" spans="1:7" x14ac:dyDescent="0.15">
      <c r="A56" s="2" t="s">
        <v>0</v>
      </c>
      <c r="B56" s="2" t="s">
        <v>596</v>
      </c>
      <c r="C56" s="2">
        <v>2030</v>
      </c>
      <c r="D56" s="2" t="s">
        <v>582</v>
      </c>
      <c r="E56" s="2">
        <v>146.80000000000001</v>
      </c>
      <c r="F56" s="2" t="s">
        <v>593</v>
      </c>
      <c r="G56" s="2" t="s">
        <v>597</v>
      </c>
    </row>
    <row r="57" spans="1:7" x14ac:dyDescent="0.15">
      <c r="A57" s="2" t="s">
        <v>0</v>
      </c>
      <c r="B57" s="2" t="s">
        <v>599</v>
      </c>
      <c r="C57" s="2">
        <v>2024</v>
      </c>
      <c r="D57" s="2" t="s">
        <v>582</v>
      </c>
      <c r="E57" s="2">
        <v>-4.7</v>
      </c>
      <c r="F57" s="2" t="s">
        <v>593</v>
      </c>
      <c r="G57" s="2" t="s">
        <v>604</v>
      </c>
    </row>
    <row r="58" spans="1:7" x14ac:dyDescent="0.15">
      <c r="A58" s="2" t="s">
        <v>0</v>
      </c>
      <c r="B58" s="2" t="s">
        <v>599</v>
      </c>
      <c r="C58" s="2">
        <v>2025</v>
      </c>
      <c r="D58" s="2" t="s">
        <v>582</v>
      </c>
      <c r="E58" s="2">
        <v>-14.7</v>
      </c>
      <c r="F58" s="2" t="s">
        <v>593</v>
      </c>
      <c r="G58" s="2" t="s">
        <v>594</v>
      </c>
    </row>
    <row r="59" spans="1:7" x14ac:dyDescent="0.15">
      <c r="A59" s="2" t="s">
        <v>0</v>
      </c>
      <c r="B59" s="2" t="s">
        <v>599</v>
      </c>
      <c r="C59" s="2">
        <v>2026</v>
      </c>
      <c r="D59" s="2" t="s">
        <v>582</v>
      </c>
      <c r="E59" s="2">
        <v>-35.299999999999997</v>
      </c>
      <c r="F59" s="2" t="s">
        <v>593</v>
      </c>
      <c r="G59" s="2" t="s">
        <v>594</v>
      </c>
    </row>
    <row r="60" spans="1:7" x14ac:dyDescent="0.15">
      <c r="A60" s="2" t="s">
        <v>0</v>
      </c>
      <c r="B60" s="2" t="s">
        <v>599</v>
      </c>
      <c r="C60" s="2">
        <v>2027</v>
      </c>
      <c r="D60" s="2" t="s">
        <v>582</v>
      </c>
      <c r="E60" s="2">
        <v>-60</v>
      </c>
      <c r="F60" s="2" t="s">
        <v>593</v>
      </c>
      <c r="G60" s="2" t="s">
        <v>594</v>
      </c>
    </row>
    <row r="61" spans="1:7" x14ac:dyDescent="0.15">
      <c r="A61" s="2" t="s">
        <v>0</v>
      </c>
      <c r="B61" s="2" t="s">
        <v>599</v>
      </c>
      <c r="C61" s="2">
        <v>2028</v>
      </c>
      <c r="D61" s="2" t="s">
        <v>582</v>
      </c>
      <c r="E61" s="2">
        <v>-92.7</v>
      </c>
      <c r="F61" s="2" t="s">
        <v>593</v>
      </c>
      <c r="G61" s="2" t="s">
        <v>594</v>
      </c>
    </row>
    <row r="62" spans="1:7" x14ac:dyDescent="0.15">
      <c r="A62" s="2" t="s">
        <v>0</v>
      </c>
      <c r="B62" s="2" t="s">
        <v>599</v>
      </c>
      <c r="C62" s="2">
        <v>2029</v>
      </c>
      <c r="D62" s="2" t="s">
        <v>582</v>
      </c>
      <c r="E62" s="2">
        <v>-54.7</v>
      </c>
      <c r="F62" s="2" t="s">
        <v>593</v>
      </c>
      <c r="G62" s="2" t="s">
        <v>594</v>
      </c>
    </row>
    <row r="63" spans="1:7" x14ac:dyDescent="0.15">
      <c r="A63" s="2" t="s">
        <v>0</v>
      </c>
      <c r="B63" s="2" t="s">
        <v>599</v>
      </c>
      <c r="C63" s="2">
        <v>2030</v>
      </c>
      <c r="D63" s="2" t="s">
        <v>582</v>
      </c>
      <c r="E63" s="2">
        <v>37</v>
      </c>
      <c r="F63" s="2" t="s">
        <v>593</v>
      </c>
      <c r="G63" s="2" t="s">
        <v>594</v>
      </c>
    </row>
    <row r="64" spans="1:7" x14ac:dyDescent="0.15">
      <c r="A64" s="2" t="s">
        <v>0</v>
      </c>
      <c r="B64" s="2" t="s">
        <v>601</v>
      </c>
      <c r="C64" s="2">
        <v>2024</v>
      </c>
      <c r="D64" s="2" t="s">
        <v>602</v>
      </c>
      <c r="E64" s="2">
        <v>2.2999999999999998</v>
      </c>
      <c r="F64" s="2" t="s">
        <v>593</v>
      </c>
      <c r="G64" s="2" t="s">
        <v>594</v>
      </c>
    </row>
    <row r="65" spans="1:7" x14ac:dyDescent="0.15">
      <c r="A65" s="2" t="s">
        <v>0</v>
      </c>
      <c r="B65" s="2" t="s">
        <v>601</v>
      </c>
      <c r="C65" s="2">
        <v>2024</v>
      </c>
      <c r="D65" s="2" t="s">
        <v>603</v>
      </c>
      <c r="E65" s="2">
        <v>1</v>
      </c>
      <c r="F65" s="2" t="s">
        <v>593</v>
      </c>
      <c r="G65" s="2" t="s">
        <v>594</v>
      </c>
    </row>
    <row r="66" spans="1:7" x14ac:dyDescent="0.15">
      <c r="A66" s="2" t="s">
        <v>0</v>
      </c>
      <c r="B66" s="2" t="s">
        <v>601</v>
      </c>
      <c r="C66" s="2">
        <v>2024</v>
      </c>
      <c r="D66" s="2" t="s">
        <v>605</v>
      </c>
      <c r="E66" s="2">
        <v>0</v>
      </c>
      <c r="F66" s="2" t="s">
        <v>593</v>
      </c>
      <c r="G66" s="2" t="s">
        <v>594</v>
      </c>
    </row>
    <row r="67" spans="1:7" x14ac:dyDescent="0.15">
      <c r="A67" s="2" t="s">
        <v>0</v>
      </c>
      <c r="B67" s="2" t="s">
        <v>601</v>
      </c>
      <c r="C67" s="2">
        <v>2025</v>
      </c>
      <c r="D67" s="2" t="s">
        <v>602</v>
      </c>
      <c r="E67" s="2">
        <v>8</v>
      </c>
      <c r="F67" s="2" t="s">
        <v>593</v>
      </c>
      <c r="G67" s="2" t="s">
        <v>594</v>
      </c>
    </row>
    <row r="68" spans="1:7" x14ac:dyDescent="0.15">
      <c r="A68" s="2" t="s">
        <v>0</v>
      </c>
      <c r="B68" s="2" t="s">
        <v>601</v>
      </c>
      <c r="C68" s="2">
        <v>2025</v>
      </c>
      <c r="D68" s="2" t="s">
        <v>603</v>
      </c>
      <c r="E68" s="2">
        <v>4.7</v>
      </c>
      <c r="F68" s="2" t="s">
        <v>593</v>
      </c>
      <c r="G68" s="2" t="s">
        <v>594</v>
      </c>
    </row>
    <row r="69" spans="1:7" x14ac:dyDescent="0.15">
      <c r="A69" s="2" t="s">
        <v>0</v>
      </c>
      <c r="B69" s="2" t="s">
        <v>601</v>
      </c>
      <c r="C69" s="2">
        <v>2025</v>
      </c>
      <c r="D69" s="2" t="s">
        <v>605</v>
      </c>
      <c r="E69" s="2">
        <v>0</v>
      </c>
      <c r="F69" s="2" t="s">
        <v>593</v>
      </c>
      <c r="G69" s="2" t="s">
        <v>594</v>
      </c>
    </row>
    <row r="70" spans="1:7" x14ac:dyDescent="0.15">
      <c r="A70" s="2" t="s">
        <v>0</v>
      </c>
      <c r="B70" s="2" t="s">
        <v>601</v>
      </c>
      <c r="C70" s="2">
        <v>2026</v>
      </c>
      <c r="D70" s="2" t="s">
        <v>602</v>
      </c>
      <c r="E70" s="2">
        <v>16.600000000000001</v>
      </c>
      <c r="F70" s="2" t="s">
        <v>593</v>
      </c>
      <c r="G70" s="2" t="s">
        <v>594</v>
      </c>
    </row>
    <row r="71" spans="1:7" x14ac:dyDescent="0.15">
      <c r="A71" s="2" t="s">
        <v>0</v>
      </c>
      <c r="B71" s="2" t="s">
        <v>601</v>
      </c>
      <c r="C71" s="2">
        <v>2026</v>
      </c>
      <c r="D71" s="2" t="s">
        <v>603</v>
      </c>
      <c r="E71" s="2">
        <v>13</v>
      </c>
      <c r="F71" s="2" t="s">
        <v>593</v>
      </c>
      <c r="G71" s="2" t="s">
        <v>594</v>
      </c>
    </row>
    <row r="72" spans="1:7" x14ac:dyDescent="0.15">
      <c r="A72" s="2" t="s">
        <v>0</v>
      </c>
      <c r="B72" s="2" t="s">
        <v>601</v>
      </c>
      <c r="C72" s="2">
        <v>2026</v>
      </c>
      <c r="D72" s="2" t="s">
        <v>605</v>
      </c>
      <c r="E72" s="2">
        <v>0.3</v>
      </c>
      <c r="F72" s="2" t="s">
        <v>593</v>
      </c>
      <c r="G72" s="2" t="s">
        <v>594</v>
      </c>
    </row>
    <row r="73" spans="1:7" x14ac:dyDescent="0.15">
      <c r="A73" s="2" t="s">
        <v>0</v>
      </c>
      <c r="B73" s="2" t="s">
        <v>601</v>
      </c>
      <c r="C73" s="2">
        <v>2027</v>
      </c>
      <c r="D73" s="2" t="s">
        <v>602</v>
      </c>
      <c r="E73" s="2">
        <v>32.200000000000003</v>
      </c>
      <c r="F73" s="2" t="s">
        <v>593</v>
      </c>
      <c r="G73" s="2" t="s">
        <v>594</v>
      </c>
    </row>
    <row r="74" spans="1:7" x14ac:dyDescent="0.15">
      <c r="A74" s="2" t="s">
        <v>0</v>
      </c>
      <c r="B74" s="2" t="s">
        <v>601</v>
      </c>
      <c r="C74" s="2">
        <v>2027</v>
      </c>
      <c r="D74" s="2" t="s">
        <v>603</v>
      </c>
      <c r="E74" s="2">
        <v>27.6</v>
      </c>
      <c r="F74" s="2" t="s">
        <v>593</v>
      </c>
      <c r="G74" s="2" t="s">
        <v>594</v>
      </c>
    </row>
    <row r="75" spans="1:7" x14ac:dyDescent="0.15">
      <c r="A75" s="2" t="s">
        <v>0</v>
      </c>
      <c r="B75" s="2" t="s">
        <v>601</v>
      </c>
      <c r="C75" s="2">
        <v>2027</v>
      </c>
      <c r="D75" s="2" t="s">
        <v>605</v>
      </c>
      <c r="E75" s="2">
        <v>1.3</v>
      </c>
      <c r="F75" s="2" t="s">
        <v>593</v>
      </c>
      <c r="G75" s="2" t="s">
        <v>594</v>
      </c>
    </row>
    <row r="76" spans="1:7" x14ac:dyDescent="0.15">
      <c r="A76" s="2" t="s">
        <v>0</v>
      </c>
      <c r="B76" s="2" t="s">
        <v>601</v>
      </c>
      <c r="C76" s="2">
        <v>2028</v>
      </c>
      <c r="D76" s="2" t="s">
        <v>602</v>
      </c>
      <c r="E76" s="2">
        <v>56.8</v>
      </c>
      <c r="F76" s="2" t="s">
        <v>593</v>
      </c>
      <c r="G76" s="2" t="s">
        <v>606</v>
      </c>
    </row>
    <row r="77" spans="1:7" x14ac:dyDescent="0.15">
      <c r="A77" s="2" t="s">
        <v>0</v>
      </c>
      <c r="B77" s="2" t="s">
        <v>601</v>
      </c>
      <c r="C77" s="2">
        <v>2028</v>
      </c>
      <c r="D77" s="2" t="s">
        <v>603</v>
      </c>
      <c r="E77" s="2">
        <v>49.8</v>
      </c>
      <c r="F77" s="2" t="s">
        <v>593</v>
      </c>
      <c r="G77" s="2" t="s">
        <v>594</v>
      </c>
    </row>
    <row r="78" spans="1:7" x14ac:dyDescent="0.15">
      <c r="A78" s="2" t="s">
        <v>0</v>
      </c>
      <c r="B78" s="2" t="s">
        <v>601</v>
      </c>
      <c r="C78" s="2">
        <v>2028</v>
      </c>
      <c r="D78" s="2" t="s">
        <v>605</v>
      </c>
      <c r="E78" s="2">
        <v>5.6</v>
      </c>
      <c r="F78" s="2" t="s">
        <v>593</v>
      </c>
      <c r="G78" s="2" t="s">
        <v>594</v>
      </c>
    </row>
    <row r="79" spans="1:7" x14ac:dyDescent="0.15">
      <c r="A79" s="2" t="s">
        <v>0</v>
      </c>
      <c r="B79" s="2" t="s">
        <v>601</v>
      </c>
      <c r="C79" s="2">
        <v>2029</v>
      </c>
      <c r="D79" s="2" t="s">
        <v>602</v>
      </c>
      <c r="E79" s="2">
        <v>93.7</v>
      </c>
      <c r="F79" s="2" t="s">
        <v>593</v>
      </c>
      <c r="G79" s="2" t="s">
        <v>594</v>
      </c>
    </row>
    <row r="80" spans="1:7" x14ac:dyDescent="0.15">
      <c r="A80" s="2" t="s">
        <v>0</v>
      </c>
      <c r="B80" s="2" t="s">
        <v>601</v>
      </c>
      <c r="C80" s="2">
        <v>2029</v>
      </c>
      <c r="D80" s="2" t="s">
        <v>603</v>
      </c>
      <c r="E80" s="2">
        <v>78.400000000000006</v>
      </c>
      <c r="F80" s="2" t="s">
        <v>593</v>
      </c>
      <c r="G80" s="2" t="s">
        <v>594</v>
      </c>
    </row>
    <row r="81" spans="1:7" x14ac:dyDescent="0.15">
      <c r="A81" s="2" t="s">
        <v>0</v>
      </c>
      <c r="B81" s="2" t="s">
        <v>601</v>
      </c>
      <c r="C81" s="2">
        <v>2029</v>
      </c>
      <c r="D81" s="2" t="s">
        <v>605</v>
      </c>
      <c r="E81" s="2">
        <v>11</v>
      </c>
      <c r="F81" s="2" t="s">
        <v>593</v>
      </c>
      <c r="G81" s="2" t="s">
        <v>594</v>
      </c>
    </row>
    <row r="82" spans="1:7" x14ac:dyDescent="0.15">
      <c r="A82" s="2" t="s">
        <v>0</v>
      </c>
      <c r="B82" s="2" t="s">
        <v>601</v>
      </c>
      <c r="C82" s="2">
        <v>2030</v>
      </c>
      <c r="D82" s="2" t="s">
        <v>602</v>
      </c>
      <c r="E82" s="2">
        <v>148.5</v>
      </c>
      <c r="F82" s="2" t="s">
        <v>593</v>
      </c>
      <c r="G82" s="2" t="s">
        <v>594</v>
      </c>
    </row>
    <row r="83" spans="1:7" x14ac:dyDescent="0.15">
      <c r="A83" s="2" t="s">
        <v>0</v>
      </c>
      <c r="B83" s="2" t="s">
        <v>601</v>
      </c>
      <c r="C83" s="2">
        <v>2030</v>
      </c>
      <c r="D83" s="2" t="s">
        <v>603</v>
      </c>
      <c r="E83" s="2">
        <v>116.9</v>
      </c>
      <c r="F83" s="2" t="s">
        <v>593</v>
      </c>
      <c r="G83" s="2" t="s">
        <v>594</v>
      </c>
    </row>
    <row r="84" spans="1:7" x14ac:dyDescent="0.15">
      <c r="A84" s="2" t="s">
        <v>0</v>
      </c>
      <c r="B84" s="2" t="s">
        <v>601</v>
      </c>
      <c r="C84" s="2">
        <v>2030</v>
      </c>
      <c r="D84" s="2" t="s">
        <v>605</v>
      </c>
      <c r="E84" s="2">
        <v>14.6</v>
      </c>
      <c r="F84" s="2" t="s">
        <v>593</v>
      </c>
      <c r="G84" s="2" t="s">
        <v>607</v>
      </c>
    </row>
    <row r="85" spans="1:7" x14ac:dyDescent="0.15">
      <c r="A85" s="2" t="s">
        <v>87</v>
      </c>
      <c r="B85" s="2" t="s">
        <v>601</v>
      </c>
      <c r="C85" s="2">
        <v>2024</v>
      </c>
      <c r="D85" s="2" t="s">
        <v>582</v>
      </c>
      <c r="F85" s="2" t="s">
        <v>608</v>
      </c>
      <c r="G85" s="2" t="s">
        <v>609</v>
      </c>
    </row>
    <row r="86" spans="1:7" x14ac:dyDescent="0.15">
      <c r="A86" s="2" t="s">
        <v>87</v>
      </c>
      <c r="B86" s="2" t="s">
        <v>581</v>
      </c>
      <c r="C86" s="2">
        <v>2024</v>
      </c>
      <c r="D86" s="2" t="s">
        <v>610</v>
      </c>
      <c r="E86" s="2">
        <v>-6</v>
      </c>
      <c r="F86" s="2" t="s">
        <v>611</v>
      </c>
      <c r="G86" s="2" t="s">
        <v>612</v>
      </c>
    </row>
    <row r="87" spans="1:7" x14ac:dyDescent="0.15">
      <c r="A87" s="2" t="s">
        <v>87</v>
      </c>
      <c r="B87" s="2" t="s">
        <v>581</v>
      </c>
      <c r="C87" s="2">
        <v>2025</v>
      </c>
      <c r="D87" s="2" t="s">
        <v>610</v>
      </c>
      <c r="E87" s="2">
        <v>-4</v>
      </c>
      <c r="F87" s="2" t="s">
        <v>611</v>
      </c>
      <c r="G87" s="2" t="s">
        <v>612</v>
      </c>
    </row>
    <row r="88" spans="1:7" x14ac:dyDescent="0.15">
      <c r="A88" s="2" t="s">
        <v>87</v>
      </c>
      <c r="B88" s="2" t="s">
        <v>581</v>
      </c>
      <c r="C88" s="2">
        <v>2026</v>
      </c>
      <c r="D88" s="2" t="s">
        <v>610</v>
      </c>
      <c r="E88" s="2">
        <v>-11</v>
      </c>
      <c r="F88" s="2" t="s">
        <v>611</v>
      </c>
      <c r="G88" s="2" t="s">
        <v>612</v>
      </c>
    </row>
    <row r="89" spans="1:7" x14ac:dyDescent="0.15">
      <c r="A89" s="2" t="s">
        <v>87</v>
      </c>
      <c r="B89" s="2" t="s">
        <v>581</v>
      </c>
      <c r="C89" s="2">
        <v>2027</v>
      </c>
      <c r="D89" s="2" t="s">
        <v>610</v>
      </c>
      <c r="E89" s="2">
        <v>-11</v>
      </c>
      <c r="F89" s="2" t="s">
        <v>611</v>
      </c>
      <c r="G89" s="2" t="s">
        <v>612</v>
      </c>
    </row>
    <row r="90" spans="1:7" x14ac:dyDescent="0.15">
      <c r="A90" s="2" t="s">
        <v>87</v>
      </c>
      <c r="B90" s="2" t="s">
        <v>581</v>
      </c>
      <c r="C90" s="2">
        <v>2028</v>
      </c>
      <c r="D90" s="2" t="s">
        <v>610</v>
      </c>
      <c r="E90" s="2">
        <v>2</v>
      </c>
      <c r="F90" s="2" t="s">
        <v>611</v>
      </c>
      <c r="G90" s="2" t="s">
        <v>612</v>
      </c>
    </row>
    <row r="91" spans="1:7" x14ac:dyDescent="0.15">
      <c r="A91" s="2" t="s">
        <v>87</v>
      </c>
      <c r="B91" s="2" t="s">
        <v>581</v>
      </c>
      <c r="C91" s="2">
        <v>2029</v>
      </c>
      <c r="D91" s="2" t="s">
        <v>610</v>
      </c>
      <c r="E91" s="2">
        <v>18</v>
      </c>
      <c r="F91" s="2" t="s">
        <v>611</v>
      </c>
      <c r="G91" s="2" t="s">
        <v>612</v>
      </c>
    </row>
    <row r="92" spans="1:7" x14ac:dyDescent="0.15">
      <c r="A92" s="2" t="s">
        <v>87</v>
      </c>
      <c r="B92" s="2" t="s">
        <v>601</v>
      </c>
      <c r="C92" s="2">
        <v>2024</v>
      </c>
      <c r="D92" s="2" t="s">
        <v>613</v>
      </c>
      <c r="E92" s="2">
        <v>0.4</v>
      </c>
      <c r="F92" s="2" t="s">
        <v>611</v>
      </c>
      <c r="G92" s="2" t="s">
        <v>614</v>
      </c>
    </row>
    <row r="93" spans="1:7" x14ac:dyDescent="0.15">
      <c r="A93" s="2" t="s">
        <v>87</v>
      </c>
      <c r="B93" s="2" t="s">
        <v>601</v>
      </c>
      <c r="C93" s="2">
        <v>2025</v>
      </c>
      <c r="D93" s="2" t="s">
        <v>613</v>
      </c>
      <c r="E93" s="2">
        <v>4.5</v>
      </c>
      <c r="F93" s="2" t="s">
        <v>611</v>
      </c>
      <c r="G93" s="2" t="s">
        <v>614</v>
      </c>
    </row>
    <row r="94" spans="1:7" x14ac:dyDescent="0.15">
      <c r="A94" s="2" t="s">
        <v>87</v>
      </c>
      <c r="B94" s="2" t="s">
        <v>601</v>
      </c>
      <c r="C94" s="2">
        <v>2026</v>
      </c>
      <c r="D94" s="2" t="s">
        <v>613</v>
      </c>
      <c r="E94" s="2">
        <v>18</v>
      </c>
      <c r="F94" s="2" t="s">
        <v>611</v>
      </c>
      <c r="G94" s="2" t="s">
        <v>614</v>
      </c>
    </row>
    <row r="95" spans="1:7" x14ac:dyDescent="0.15">
      <c r="A95" s="2" t="s">
        <v>87</v>
      </c>
      <c r="B95" s="2" t="s">
        <v>601</v>
      </c>
      <c r="C95" s="2">
        <v>2027</v>
      </c>
      <c r="D95" s="2" t="s">
        <v>613</v>
      </c>
      <c r="E95" s="2">
        <v>55</v>
      </c>
      <c r="F95" s="2" t="s">
        <v>611</v>
      </c>
      <c r="G95" s="2" t="s">
        <v>614</v>
      </c>
    </row>
    <row r="96" spans="1:7" x14ac:dyDescent="0.15">
      <c r="A96" s="2" t="s">
        <v>87</v>
      </c>
      <c r="B96" s="2" t="s">
        <v>601</v>
      </c>
      <c r="C96" s="2">
        <v>2028</v>
      </c>
      <c r="D96" s="2" t="s">
        <v>613</v>
      </c>
      <c r="E96" s="2">
        <v>102</v>
      </c>
      <c r="F96" s="2" t="s">
        <v>611</v>
      </c>
      <c r="G96" s="2" t="s">
        <v>614</v>
      </c>
    </row>
    <row r="97" spans="1:7" x14ac:dyDescent="0.15">
      <c r="A97" s="2" t="s">
        <v>87</v>
      </c>
      <c r="B97" s="2" t="s">
        <v>601</v>
      </c>
      <c r="C97" s="2">
        <v>2029</v>
      </c>
      <c r="D97" s="2" t="s">
        <v>613</v>
      </c>
      <c r="E97" s="2">
        <v>148</v>
      </c>
      <c r="F97" s="2" t="s">
        <v>611</v>
      </c>
      <c r="G97" s="2" t="s">
        <v>614</v>
      </c>
    </row>
    <row r="98" spans="1:7" x14ac:dyDescent="0.15">
      <c r="A98" s="2" t="s">
        <v>0</v>
      </c>
      <c r="B98" s="2" t="s">
        <v>581</v>
      </c>
      <c r="C98" s="2">
        <v>2024</v>
      </c>
      <c r="D98" s="2" t="s">
        <v>615</v>
      </c>
      <c r="E98" s="2">
        <v>-2</v>
      </c>
      <c r="F98" s="2" t="s">
        <v>611</v>
      </c>
      <c r="G98" s="2" t="s">
        <v>616</v>
      </c>
    </row>
    <row r="99" spans="1:7" x14ac:dyDescent="0.15">
      <c r="A99" s="2" t="s">
        <v>0</v>
      </c>
      <c r="B99" s="2" t="s">
        <v>581</v>
      </c>
      <c r="C99" s="2">
        <v>2024</v>
      </c>
      <c r="D99" s="2" t="s">
        <v>617</v>
      </c>
      <c r="E99" s="2">
        <v>-2</v>
      </c>
      <c r="F99" s="2" t="s">
        <v>611</v>
      </c>
      <c r="G99" s="2" t="s">
        <v>618</v>
      </c>
    </row>
    <row r="100" spans="1:7" x14ac:dyDescent="0.15">
      <c r="A100" s="2" t="s">
        <v>0</v>
      </c>
      <c r="B100" s="2" t="s">
        <v>581</v>
      </c>
      <c r="C100" s="2">
        <v>2025</v>
      </c>
      <c r="D100" s="2" t="s">
        <v>615</v>
      </c>
      <c r="E100" s="2">
        <v>-8</v>
      </c>
      <c r="F100" s="2" t="s">
        <v>611</v>
      </c>
      <c r="G100" s="2" t="s">
        <v>616</v>
      </c>
    </row>
    <row r="101" spans="1:7" x14ac:dyDescent="0.15">
      <c r="A101" s="2" t="s">
        <v>0</v>
      </c>
      <c r="B101" s="2" t="s">
        <v>581</v>
      </c>
      <c r="C101" s="2">
        <v>2025</v>
      </c>
      <c r="D101" s="2" t="s">
        <v>617</v>
      </c>
      <c r="E101" s="2">
        <v>-9</v>
      </c>
      <c r="F101" s="2" t="s">
        <v>611</v>
      </c>
      <c r="G101" s="2" t="s">
        <v>618</v>
      </c>
    </row>
    <row r="102" spans="1:7" x14ac:dyDescent="0.15">
      <c r="A102" s="2" t="s">
        <v>0</v>
      </c>
      <c r="B102" s="2" t="s">
        <v>581</v>
      </c>
      <c r="C102" s="2">
        <v>2026</v>
      </c>
      <c r="D102" s="2" t="s">
        <v>615</v>
      </c>
      <c r="E102" s="2">
        <v>-25</v>
      </c>
      <c r="F102" s="2" t="s">
        <v>611</v>
      </c>
      <c r="G102" s="2" t="s">
        <v>616</v>
      </c>
    </row>
    <row r="103" spans="1:7" x14ac:dyDescent="0.15">
      <c r="A103" s="2" t="s">
        <v>0</v>
      </c>
      <c r="B103" s="2" t="s">
        <v>581</v>
      </c>
      <c r="C103" s="2">
        <v>2026</v>
      </c>
      <c r="D103" s="2" t="s">
        <v>617</v>
      </c>
      <c r="E103" s="2">
        <v>-17</v>
      </c>
      <c r="F103" s="2" t="s">
        <v>611</v>
      </c>
      <c r="G103" s="2" t="s">
        <v>618</v>
      </c>
    </row>
    <row r="104" spans="1:7" x14ac:dyDescent="0.15">
      <c r="A104" s="2" t="s">
        <v>0</v>
      </c>
      <c r="B104" s="2" t="s">
        <v>581</v>
      </c>
      <c r="C104" s="2">
        <v>2027</v>
      </c>
      <c r="D104" s="2" t="s">
        <v>615</v>
      </c>
      <c r="E104" s="2">
        <v>-57</v>
      </c>
      <c r="F104" s="2" t="s">
        <v>611</v>
      </c>
      <c r="G104" s="2" t="s">
        <v>616</v>
      </c>
    </row>
    <row r="105" spans="1:7" x14ac:dyDescent="0.15">
      <c r="A105" s="2" t="s">
        <v>0</v>
      </c>
      <c r="B105" s="2" t="s">
        <v>581</v>
      </c>
      <c r="C105" s="2">
        <v>2027</v>
      </c>
      <c r="D105" s="2" t="s">
        <v>617</v>
      </c>
      <c r="E105" s="2">
        <v>-35</v>
      </c>
      <c r="F105" s="2" t="s">
        <v>611</v>
      </c>
      <c r="G105" s="2" t="s">
        <v>618</v>
      </c>
    </row>
    <row r="106" spans="1:7" x14ac:dyDescent="0.15">
      <c r="A106" s="2" t="s">
        <v>0</v>
      </c>
      <c r="B106" s="2" t="s">
        <v>581</v>
      </c>
      <c r="C106" s="2">
        <v>2028</v>
      </c>
      <c r="D106" s="2" t="s">
        <v>615</v>
      </c>
      <c r="E106" s="2">
        <v>-85</v>
      </c>
      <c r="F106" s="2" t="s">
        <v>611</v>
      </c>
      <c r="G106" s="2" t="s">
        <v>616</v>
      </c>
    </row>
    <row r="107" spans="1:7" x14ac:dyDescent="0.15">
      <c r="A107" s="2" t="s">
        <v>0</v>
      </c>
      <c r="B107" s="2" t="s">
        <v>581</v>
      </c>
      <c r="C107" s="2">
        <v>2028</v>
      </c>
      <c r="D107" s="2" t="s">
        <v>617</v>
      </c>
      <c r="E107" s="2">
        <v>-47</v>
      </c>
      <c r="F107" s="2" t="s">
        <v>611</v>
      </c>
      <c r="G107" s="2" t="s">
        <v>618</v>
      </c>
    </row>
    <row r="108" spans="1:7" x14ac:dyDescent="0.15">
      <c r="A108" s="2" t="s">
        <v>0</v>
      </c>
      <c r="B108" s="2" t="s">
        <v>581</v>
      </c>
      <c r="C108" s="2">
        <v>2029</v>
      </c>
      <c r="D108" s="2" t="s">
        <v>615</v>
      </c>
      <c r="E108" s="2">
        <v>-51</v>
      </c>
      <c r="F108" s="2" t="s">
        <v>611</v>
      </c>
      <c r="G108" s="2" t="s">
        <v>616</v>
      </c>
    </row>
    <row r="109" spans="1:7" x14ac:dyDescent="0.15">
      <c r="A109" s="2" t="s">
        <v>0</v>
      </c>
      <c r="B109" s="2" t="s">
        <v>581</v>
      </c>
      <c r="C109" s="2">
        <v>2029</v>
      </c>
      <c r="D109" s="2" t="s">
        <v>617</v>
      </c>
      <c r="E109" s="2">
        <v>-8</v>
      </c>
      <c r="F109" s="2" t="s">
        <v>611</v>
      </c>
      <c r="G109" s="2" t="s">
        <v>618</v>
      </c>
    </row>
    <row r="110" spans="1:7" x14ac:dyDescent="0.15">
      <c r="A110" s="2" t="s">
        <v>0</v>
      </c>
      <c r="B110" s="2" t="s">
        <v>581</v>
      </c>
      <c r="C110" s="2">
        <v>2030</v>
      </c>
      <c r="D110" s="2" t="s">
        <v>615</v>
      </c>
      <c r="E110" s="2">
        <v>39</v>
      </c>
      <c r="F110" s="2" t="s">
        <v>611</v>
      </c>
      <c r="G110" s="2" t="s">
        <v>616</v>
      </c>
    </row>
    <row r="111" spans="1:7" x14ac:dyDescent="0.15">
      <c r="A111" s="2" t="s">
        <v>0</v>
      </c>
      <c r="B111" s="2" t="s">
        <v>581</v>
      </c>
      <c r="C111" s="2">
        <v>2030</v>
      </c>
      <c r="D111" s="2" t="s">
        <v>617</v>
      </c>
      <c r="E111" s="2">
        <v>38</v>
      </c>
      <c r="F111" s="2" t="s">
        <v>611</v>
      </c>
      <c r="G111" s="2" t="s">
        <v>618</v>
      </c>
    </row>
    <row r="112" spans="1:7" x14ac:dyDescent="0.15">
      <c r="A112" s="2" t="s">
        <v>0</v>
      </c>
      <c r="B112" s="2" t="s">
        <v>601</v>
      </c>
      <c r="C112" s="2">
        <v>2024</v>
      </c>
      <c r="D112" s="2" t="s">
        <v>615</v>
      </c>
      <c r="E112" s="2">
        <v>3.7</v>
      </c>
      <c r="F112" s="2" t="s">
        <v>611</v>
      </c>
      <c r="G112" s="2" t="s">
        <v>619</v>
      </c>
    </row>
    <row r="113" spans="1:7" x14ac:dyDescent="0.15">
      <c r="A113" s="2" t="s">
        <v>0</v>
      </c>
      <c r="B113" s="2" t="s">
        <v>601</v>
      </c>
      <c r="C113" s="2">
        <v>2025</v>
      </c>
      <c r="D113" s="2" t="s">
        <v>615</v>
      </c>
      <c r="E113" s="2">
        <v>13</v>
      </c>
      <c r="F113" s="2" t="s">
        <v>611</v>
      </c>
      <c r="G113" s="2" t="s">
        <v>619</v>
      </c>
    </row>
    <row r="114" spans="1:7" x14ac:dyDescent="0.15">
      <c r="A114" s="2" t="s">
        <v>0</v>
      </c>
      <c r="B114" s="2" t="s">
        <v>601</v>
      </c>
      <c r="C114" s="2">
        <v>2026</v>
      </c>
      <c r="D114" s="2" t="s">
        <v>615</v>
      </c>
      <c r="E114" s="2">
        <v>30</v>
      </c>
      <c r="F114" s="2" t="s">
        <v>611</v>
      </c>
      <c r="G114" s="2" t="s">
        <v>619</v>
      </c>
    </row>
    <row r="115" spans="1:7" x14ac:dyDescent="0.15">
      <c r="A115" s="2" t="s">
        <v>0</v>
      </c>
      <c r="B115" s="2" t="s">
        <v>601</v>
      </c>
      <c r="C115" s="2">
        <v>2027</v>
      </c>
      <c r="D115" s="2" t="s">
        <v>615</v>
      </c>
      <c r="E115" s="2">
        <v>61.5</v>
      </c>
      <c r="F115" s="2" t="s">
        <v>611</v>
      </c>
      <c r="G115" s="2" t="s">
        <v>619</v>
      </c>
    </row>
    <row r="116" spans="1:7" x14ac:dyDescent="0.15">
      <c r="A116" s="2" t="s">
        <v>0</v>
      </c>
      <c r="B116" s="2" t="s">
        <v>601</v>
      </c>
      <c r="C116" s="2">
        <v>2028</v>
      </c>
      <c r="D116" s="2" t="s">
        <v>615</v>
      </c>
      <c r="E116" s="2">
        <v>113</v>
      </c>
      <c r="F116" s="2" t="s">
        <v>611</v>
      </c>
      <c r="G116" s="2" t="s">
        <v>619</v>
      </c>
    </row>
    <row r="117" spans="1:7" x14ac:dyDescent="0.15">
      <c r="A117" s="2" t="s">
        <v>0</v>
      </c>
      <c r="B117" s="2" t="s">
        <v>601</v>
      </c>
      <c r="C117" s="2">
        <v>2029</v>
      </c>
      <c r="D117" s="2" t="s">
        <v>615</v>
      </c>
      <c r="E117" s="2">
        <v>184.5</v>
      </c>
      <c r="F117" s="2" t="s">
        <v>611</v>
      </c>
      <c r="G117" s="2" t="s">
        <v>619</v>
      </c>
    </row>
    <row r="118" spans="1:7" x14ac:dyDescent="0.15">
      <c r="A118" s="2" t="s">
        <v>0</v>
      </c>
      <c r="B118" s="2" t="s">
        <v>601</v>
      </c>
      <c r="C118" s="2">
        <v>2030</v>
      </c>
      <c r="D118" s="2" t="s">
        <v>615</v>
      </c>
      <c r="E118" s="2">
        <v>283.5</v>
      </c>
      <c r="F118" s="2" t="s">
        <v>611</v>
      </c>
      <c r="G118" s="2" t="s">
        <v>619</v>
      </c>
    </row>
    <row r="119" spans="1:7" x14ac:dyDescent="0.15">
      <c r="A119" s="2" t="s">
        <v>0</v>
      </c>
      <c r="B119" s="2" t="s">
        <v>601</v>
      </c>
      <c r="C119" s="2">
        <v>2023</v>
      </c>
      <c r="D119" s="2" t="s">
        <v>582</v>
      </c>
      <c r="E119" s="2">
        <v>1</v>
      </c>
      <c r="F119" s="2" t="s">
        <v>620</v>
      </c>
      <c r="G119" s="2" t="s">
        <v>621</v>
      </c>
    </row>
    <row r="120" spans="1:7" x14ac:dyDescent="0.15">
      <c r="A120" s="2" t="s">
        <v>0</v>
      </c>
      <c r="B120" s="2" t="s">
        <v>601</v>
      </c>
      <c r="C120" s="2">
        <v>2024</v>
      </c>
      <c r="D120" s="2" t="s">
        <v>582</v>
      </c>
      <c r="E120" s="2">
        <v>4</v>
      </c>
      <c r="F120" s="2" t="s">
        <v>620</v>
      </c>
      <c r="G120" s="2" t="s">
        <v>622</v>
      </c>
    </row>
    <row r="121" spans="1:7" x14ac:dyDescent="0.15">
      <c r="A121" s="2" t="s">
        <v>0</v>
      </c>
      <c r="B121" s="2" t="s">
        <v>601</v>
      </c>
      <c r="C121" s="2">
        <v>2025</v>
      </c>
      <c r="D121" s="2" t="s">
        <v>582</v>
      </c>
      <c r="E121" s="2">
        <v>13</v>
      </c>
      <c r="F121" s="2" t="s">
        <v>620</v>
      </c>
      <c r="G121" s="2" t="s">
        <v>622</v>
      </c>
    </row>
    <row r="122" spans="1:7" x14ac:dyDescent="0.15">
      <c r="A122" s="2" t="s">
        <v>0</v>
      </c>
      <c r="B122" s="2" t="s">
        <v>601</v>
      </c>
      <c r="C122" s="2">
        <v>2026</v>
      </c>
      <c r="D122" s="2" t="s">
        <v>582</v>
      </c>
      <c r="E122" s="2">
        <v>30</v>
      </c>
      <c r="F122" s="2" t="s">
        <v>620</v>
      </c>
      <c r="G122" s="2" t="s">
        <v>623</v>
      </c>
    </row>
    <row r="123" spans="1:7" x14ac:dyDescent="0.15">
      <c r="A123" s="2" t="s">
        <v>0</v>
      </c>
      <c r="B123" s="2" t="s">
        <v>601</v>
      </c>
      <c r="C123" s="2">
        <v>2027</v>
      </c>
      <c r="D123" s="2" t="s">
        <v>582</v>
      </c>
      <c r="E123" s="2">
        <v>62</v>
      </c>
      <c r="F123" s="2" t="s">
        <v>620</v>
      </c>
      <c r="G123" s="2" t="s">
        <v>623</v>
      </c>
    </row>
    <row r="124" spans="1:7" x14ac:dyDescent="0.15">
      <c r="A124" s="2" t="s">
        <v>0</v>
      </c>
      <c r="B124" s="2" t="s">
        <v>601</v>
      </c>
      <c r="C124" s="2">
        <v>2028</v>
      </c>
      <c r="D124" s="2" t="s">
        <v>582</v>
      </c>
      <c r="E124" s="2">
        <v>113</v>
      </c>
      <c r="F124" s="2" t="s">
        <v>620</v>
      </c>
      <c r="G124" s="2" t="s">
        <v>623</v>
      </c>
    </row>
    <row r="125" spans="1:7" x14ac:dyDescent="0.15">
      <c r="A125" s="2" t="s">
        <v>0</v>
      </c>
      <c r="B125" s="2" t="s">
        <v>601</v>
      </c>
      <c r="C125" s="2">
        <v>2029</v>
      </c>
      <c r="D125" s="2" t="s">
        <v>582</v>
      </c>
      <c r="E125" s="2">
        <v>184</v>
      </c>
      <c r="F125" s="2" t="s">
        <v>620</v>
      </c>
      <c r="G125" s="2" t="s">
        <v>623</v>
      </c>
    </row>
    <row r="126" spans="1:7" x14ac:dyDescent="0.15">
      <c r="A126" s="2" t="s">
        <v>0</v>
      </c>
      <c r="B126" s="2" t="s">
        <v>601</v>
      </c>
      <c r="C126" s="2">
        <v>2030</v>
      </c>
      <c r="D126" s="2" t="s">
        <v>582</v>
      </c>
      <c r="E126" s="2">
        <v>284</v>
      </c>
      <c r="F126" s="2" t="s">
        <v>620</v>
      </c>
      <c r="G126" s="2" t="s">
        <v>623</v>
      </c>
    </row>
    <row r="127" spans="1:7" x14ac:dyDescent="0.15">
      <c r="A127" s="2" t="s">
        <v>0</v>
      </c>
      <c r="B127" s="2" t="s">
        <v>601</v>
      </c>
      <c r="C127" s="2">
        <v>2023</v>
      </c>
      <c r="D127" s="2" t="s">
        <v>624</v>
      </c>
      <c r="E127" s="2">
        <v>1</v>
      </c>
      <c r="F127" s="2" t="s">
        <v>625</v>
      </c>
      <c r="G127" s="2" t="s">
        <v>626</v>
      </c>
    </row>
    <row r="128" spans="1:7" x14ac:dyDescent="0.15">
      <c r="A128" s="2" t="s">
        <v>0</v>
      </c>
      <c r="B128" s="2" t="s">
        <v>601</v>
      </c>
      <c r="C128" s="2">
        <v>2023</v>
      </c>
      <c r="D128" s="2" t="s">
        <v>627</v>
      </c>
      <c r="E128" s="2">
        <v>0</v>
      </c>
      <c r="F128" s="2" t="s">
        <v>625</v>
      </c>
      <c r="G128" s="2" t="s">
        <v>628</v>
      </c>
    </row>
    <row r="129" spans="1:7" x14ac:dyDescent="0.15">
      <c r="A129" s="2" t="s">
        <v>0</v>
      </c>
      <c r="B129" s="2" t="s">
        <v>601</v>
      </c>
      <c r="C129" s="2">
        <v>2023</v>
      </c>
      <c r="D129" s="2" t="s">
        <v>629</v>
      </c>
      <c r="E129" s="2">
        <v>0</v>
      </c>
      <c r="F129" s="2" t="s">
        <v>625</v>
      </c>
      <c r="G129" s="2" t="s">
        <v>628</v>
      </c>
    </row>
    <row r="130" spans="1:7" x14ac:dyDescent="0.15">
      <c r="A130" s="2" t="s">
        <v>0</v>
      </c>
      <c r="B130" s="2" t="s">
        <v>601</v>
      </c>
      <c r="C130" s="2">
        <v>2023</v>
      </c>
      <c r="D130" s="2" t="s">
        <v>630</v>
      </c>
      <c r="E130" s="2">
        <v>0</v>
      </c>
      <c r="F130" s="2" t="s">
        <v>625</v>
      </c>
      <c r="G130" s="2" t="s">
        <v>628</v>
      </c>
    </row>
    <row r="131" spans="1:7" x14ac:dyDescent="0.15">
      <c r="A131" s="2" t="s">
        <v>0</v>
      </c>
      <c r="B131" s="2" t="s">
        <v>601</v>
      </c>
      <c r="C131" s="2">
        <v>2024</v>
      </c>
      <c r="D131" s="2" t="s">
        <v>624</v>
      </c>
      <c r="E131" s="2">
        <v>2.7</v>
      </c>
      <c r="F131" s="2" t="s">
        <v>625</v>
      </c>
      <c r="G131" s="2" t="s">
        <v>631</v>
      </c>
    </row>
    <row r="132" spans="1:7" x14ac:dyDescent="0.15">
      <c r="A132" s="2" t="s">
        <v>0</v>
      </c>
      <c r="B132" s="2" t="s">
        <v>601</v>
      </c>
      <c r="C132" s="2">
        <v>2024</v>
      </c>
      <c r="D132" s="2" t="s">
        <v>627</v>
      </c>
      <c r="E132" s="2">
        <v>0.4</v>
      </c>
      <c r="F132" s="2" t="s">
        <v>625</v>
      </c>
      <c r="G132" s="2" t="s">
        <v>631</v>
      </c>
    </row>
    <row r="133" spans="1:7" x14ac:dyDescent="0.15">
      <c r="A133" s="2" t="s">
        <v>0</v>
      </c>
      <c r="B133" s="2" t="s">
        <v>601</v>
      </c>
      <c r="C133" s="2">
        <v>2024</v>
      </c>
      <c r="D133" s="2" t="s">
        <v>629</v>
      </c>
      <c r="E133" s="2">
        <v>0.9</v>
      </c>
      <c r="F133" s="2" t="s">
        <v>625</v>
      </c>
      <c r="G133" s="2" t="s">
        <v>631</v>
      </c>
    </row>
    <row r="134" spans="1:7" x14ac:dyDescent="0.15">
      <c r="A134" s="2" t="s">
        <v>0</v>
      </c>
      <c r="B134" s="2" t="s">
        <v>601</v>
      </c>
      <c r="C134" s="2">
        <v>2024</v>
      </c>
      <c r="D134" s="2" t="s">
        <v>630</v>
      </c>
      <c r="E134" s="2">
        <v>0</v>
      </c>
      <c r="F134" s="2" t="s">
        <v>625</v>
      </c>
      <c r="G134" s="2" t="s">
        <v>631</v>
      </c>
    </row>
    <row r="135" spans="1:7" x14ac:dyDescent="0.15">
      <c r="A135" s="2" t="s">
        <v>0</v>
      </c>
      <c r="B135" s="2" t="s">
        <v>601</v>
      </c>
      <c r="C135" s="2">
        <v>2025</v>
      </c>
      <c r="D135" s="2" t="s">
        <v>624</v>
      </c>
      <c r="E135" s="2">
        <v>8.6</v>
      </c>
      <c r="F135" s="2" t="s">
        <v>625</v>
      </c>
      <c r="G135" s="2" t="s">
        <v>631</v>
      </c>
    </row>
    <row r="136" spans="1:7" x14ac:dyDescent="0.15">
      <c r="A136" s="2" t="s">
        <v>0</v>
      </c>
      <c r="B136" s="2" t="s">
        <v>601</v>
      </c>
      <c r="C136" s="2">
        <v>2025</v>
      </c>
      <c r="D136" s="2" t="s">
        <v>627</v>
      </c>
      <c r="E136" s="2">
        <v>2.4</v>
      </c>
      <c r="F136" s="2" t="s">
        <v>625</v>
      </c>
      <c r="G136" s="2" t="s">
        <v>631</v>
      </c>
    </row>
    <row r="137" spans="1:7" x14ac:dyDescent="0.15">
      <c r="A137" s="2" t="s">
        <v>0</v>
      </c>
      <c r="B137" s="2" t="s">
        <v>601</v>
      </c>
      <c r="C137" s="2">
        <v>2025</v>
      </c>
      <c r="D137" s="2" t="s">
        <v>629</v>
      </c>
      <c r="E137" s="2">
        <v>2.1</v>
      </c>
      <c r="F137" s="2" t="s">
        <v>625</v>
      </c>
      <c r="G137" s="2" t="s">
        <v>631</v>
      </c>
    </row>
    <row r="138" spans="1:7" x14ac:dyDescent="0.15">
      <c r="A138" s="2" t="s">
        <v>0</v>
      </c>
      <c r="B138" s="2" t="s">
        <v>601</v>
      </c>
      <c r="C138" s="2">
        <v>2025</v>
      </c>
      <c r="D138" s="2" t="s">
        <v>630</v>
      </c>
      <c r="E138" s="2">
        <v>0</v>
      </c>
      <c r="F138" s="2" t="s">
        <v>625</v>
      </c>
      <c r="G138" s="2" t="s">
        <v>631</v>
      </c>
    </row>
    <row r="139" spans="1:7" x14ac:dyDescent="0.15">
      <c r="A139" s="2" t="s">
        <v>0</v>
      </c>
      <c r="B139" s="2" t="s">
        <v>601</v>
      </c>
      <c r="C139" s="2">
        <v>2026</v>
      </c>
      <c r="D139" s="2" t="s">
        <v>624</v>
      </c>
      <c r="E139" s="2">
        <v>16.7</v>
      </c>
      <c r="F139" s="2" t="s">
        <v>625</v>
      </c>
      <c r="G139" s="2" t="s">
        <v>632</v>
      </c>
    </row>
    <row r="140" spans="1:7" x14ac:dyDescent="0.15">
      <c r="A140" s="2" t="s">
        <v>0</v>
      </c>
      <c r="B140" s="2" t="s">
        <v>601</v>
      </c>
      <c r="C140" s="2">
        <v>2026</v>
      </c>
      <c r="D140" s="2" t="s">
        <v>627</v>
      </c>
      <c r="E140" s="2">
        <v>8</v>
      </c>
      <c r="F140" s="2" t="s">
        <v>625</v>
      </c>
      <c r="G140" s="2" t="s">
        <v>633</v>
      </c>
    </row>
    <row r="141" spans="1:7" x14ac:dyDescent="0.15">
      <c r="A141" s="2" t="s">
        <v>0</v>
      </c>
      <c r="B141" s="2" t="s">
        <v>601</v>
      </c>
      <c r="C141" s="2">
        <v>2026</v>
      </c>
      <c r="D141" s="2" t="s">
        <v>629</v>
      </c>
      <c r="E141" s="2">
        <v>5.3</v>
      </c>
      <c r="F141" s="2" t="s">
        <v>625</v>
      </c>
      <c r="G141" s="2" t="s">
        <v>634</v>
      </c>
    </row>
    <row r="142" spans="1:7" x14ac:dyDescent="0.15">
      <c r="A142" s="2" t="s">
        <v>0</v>
      </c>
      <c r="B142" s="2" t="s">
        <v>601</v>
      </c>
      <c r="C142" s="2">
        <v>2026</v>
      </c>
      <c r="D142" s="2" t="s">
        <v>630</v>
      </c>
      <c r="E142" s="2">
        <v>0</v>
      </c>
      <c r="F142" s="2" t="s">
        <v>625</v>
      </c>
      <c r="G142" s="2" t="s">
        <v>635</v>
      </c>
    </row>
    <row r="143" spans="1:7" x14ac:dyDescent="0.15">
      <c r="A143" s="2" t="s">
        <v>0</v>
      </c>
      <c r="B143" s="2" t="s">
        <v>601</v>
      </c>
      <c r="C143" s="2">
        <v>2027</v>
      </c>
      <c r="D143" s="2" t="s">
        <v>624</v>
      </c>
      <c r="E143" s="2">
        <v>32.9</v>
      </c>
      <c r="F143" s="2" t="s">
        <v>625</v>
      </c>
      <c r="G143" s="2" t="s">
        <v>631</v>
      </c>
    </row>
    <row r="144" spans="1:7" x14ac:dyDescent="0.15">
      <c r="A144" s="2" t="s">
        <v>0</v>
      </c>
      <c r="B144" s="2" t="s">
        <v>601</v>
      </c>
      <c r="C144" s="2">
        <v>2027</v>
      </c>
      <c r="D144" s="2" t="s">
        <v>627</v>
      </c>
      <c r="E144" s="2">
        <v>17</v>
      </c>
      <c r="F144" s="2" t="s">
        <v>625</v>
      </c>
      <c r="G144" s="2" t="s">
        <v>631</v>
      </c>
    </row>
    <row r="145" spans="1:7" x14ac:dyDescent="0.15">
      <c r="A145" s="2" t="s">
        <v>0</v>
      </c>
      <c r="B145" s="2" t="s">
        <v>601</v>
      </c>
      <c r="C145" s="2">
        <v>2027</v>
      </c>
      <c r="D145" s="2" t="s">
        <v>629</v>
      </c>
      <c r="E145" s="2">
        <v>10.6</v>
      </c>
      <c r="F145" s="2" t="s">
        <v>625</v>
      </c>
      <c r="G145" s="2" t="s">
        <v>636</v>
      </c>
    </row>
    <row r="146" spans="1:7" x14ac:dyDescent="0.15">
      <c r="A146" s="2" t="s">
        <v>0</v>
      </c>
      <c r="B146" s="2" t="s">
        <v>601</v>
      </c>
      <c r="C146" s="2">
        <v>2027</v>
      </c>
      <c r="D146" s="2" t="s">
        <v>630</v>
      </c>
      <c r="E146" s="2">
        <v>1.5</v>
      </c>
      <c r="F146" s="2" t="s">
        <v>625</v>
      </c>
      <c r="G146" s="2" t="s">
        <v>637</v>
      </c>
    </row>
    <row r="147" spans="1:7" x14ac:dyDescent="0.15">
      <c r="A147" s="2" t="s">
        <v>0</v>
      </c>
      <c r="B147" s="2" t="s">
        <v>601</v>
      </c>
      <c r="C147" s="2">
        <v>2028</v>
      </c>
      <c r="D147" s="2" t="s">
        <v>624</v>
      </c>
      <c r="E147" s="2">
        <v>57.2</v>
      </c>
      <c r="F147" s="2" t="s">
        <v>625</v>
      </c>
      <c r="G147" s="2" t="s">
        <v>631</v>
      </c>
    </row>
    <row r="148" spans="1:7" x14ac:dyDescent="0.15">
      <c r="A148" s="2" t="s">
        <v>0</v>
      </c>
      <c r="B148" s="2" t="s">
        <v>601</v>
      </c>
      <c r="C148" s="2">
        <v>2028</v>
      </c>
      <c r="D148" s="2" t="s">
        <v>627</v>
      </c>
      <c r="E148" s="2">
        <v>31.2</v>
      </c>
      <c r="F148" s="2" t="s">
        <v>625</v>
      </c>
      <c r="G148" s="2" t="s">
        <v>631</v>
      </c>
    </row>
    <row r="149" spans="1:7" x14ac:dyDescent="0.15">
      <c r="A149" s="2" t="s">
        <v>0</v>
      </c>
      <c r="B149" s="2" t="s">
        <v>601</v>
      </c>
      <c r="C149" s="2">
        <v>2028</v>
      </c>
      <c r="D149" s="2" t="s">
        <v>629</v>
      </c>
      <c r="E149" s="2">
        <v>18.899999999999999</v>
      </c>
      <c r="F149" s="2" t="s">
        <v>625</v>
      </c>
      <c r="G149" s="2" t="s">
        <v>631</v>
      </c>
    </row>
    <row r="150" spans="1:7" x14ac:dyDescent="0.15">
      <c r="A150" s="2" t="s">
        <v>0</v>
      </c>
      <c r="B150" s="2" t="s">
        <v>601</v>
      </c>
      <c r="C150" s="2">
        <v>2028</v>
      </c>
      <c r="D150" s="2" t="s">
        <v>630</v>
      </c>
      <c r="E150" s="2">
        <v>5.6</v>
      </c>
      <c r="F150" s="2" t="s">
        <v>625</v>
      </c>
      <c r="G150" s="2" t="s">
        <v>631</v>
      </c>
    </row>
    <row r="151" spans="1:7" x14ac:dyDescent="0.15">
      <c r="A151" s="2" t="s">
        <v>0</v>
      </c>
      <c r="B151" s="2" t="s">
        <v>601</v>
      </c>
      <c r="C151" s="2">
        <v>2029</v>
      </c>
      <c r="D151" s="2" t="s">
        <v>624</v>
      </c>
      <c r="E151" s="2">
        <v>93.7</v>
      </c>
      <c r="F151" s="2" t="s">
        <v>625</v>
      </c>
      <c r="G151" s="2" t="s">
        <v>631</v>
      </c>
    </row>
    <row r="152" spans="1:7" x14ac:dyDescent="0.15">
      <c r="A152" s="2" t="s">
        <v>0</v>
      </c>
      <c r="B152" s="2" t="s">
        <v>601</v>
      </c>
      <c r="C152" s="2">
        <v>2029</v>
      </c>
      <c r="D152" s="2" t="s">
        <v>627</v>
      </c>
      <c r="E152" s="2">
        <v>47.8</v>
      </c>
      <c r="F152" s="2" t="s">
        <v>625</v>
      </c>
      <c r="G152" s="2" t="s">
        <v>631</v>
      </c>
    </row>
    <row r="153" spans="1:7" x14ac:dyDescent="0.15">
      <c r="A153" s="2" t="s">
        <v>0</v>
      </c>
      <c r="B153" s="2" t="s">
        <v>601</v>
      </c>
      <c r="C153" s="2">
        <v>2029</v>
      </c>
      <c r="D153" s="2" t="s">
        <v>629</v>
      </c>
      <c r="E153" s="2">
        <v>31.6</v>
      </c>
      <c r="F153" s="2" t="s">
        <v>625</v>
      </c>
      <c r="G153" s="2" t="s">
        <v>631</v>
      </c>
    </row>
    <row r="154" spans="1:7" x14ac:dyDescent="0.15">
      <c r="A154" s="2" t="s">
        <v>0</v>
      </c>
      <c r="B154" s="2" t="s">
        <v>601</v>
      </c>
      <c r="C154" s="2">
        <v>2029</v>
      </c>
      <c r="D154" s="2" t="s">
        <v>630</v>
      </c>
      <c r="E154" s="2">
        <v>10.9</v>
      </c>
      <c r="F154" s="2" t="s">
        <v>625</v>
      </c>
      <c r="G154" s="2" t="s">
        <v>631</v>
      </c>
    </row>
    <row r="155" spans="1:7" x14ac:dyDescent="0.15">
      <c r="A155" s="2" t="s">
        <v>0</v>
      </c>
      <c r="B155" s="2" t="s">
        <v>601</v>
      </c>
      <c r="C155" s="2">
        <v>2030</v>
      </c>
      <c r="D155" s="2" t="s">
        <v>624</v>
      </c>
      <c r="E155" s="2">
        <v>150.80000000000001</v>
      </c>
      <c r="F155" s="2" t="s">
        <v>625</v>
      </c>
      <c r="G155" s="2" t="s">
        <v>638</v>
      </c>
    </row>
    <row r="156" spans="1:7" x14ac:dyDescent="0.15">
      <c r="A156" s="2" t="s">
        <v>0</v>
      </c>
      <c r="B156" s="2" t="s">
        <v>601</v>
      </c>
      <c r="C156" s="2">
        <v>2030</v>
      </c>
      <c r="D156" s="2" t="s">
        <v>627</v>
      </c>
      <c r="E156" s="2">
        <v>70.3</v>
      </c>
      <c r="F156" s="2" t="s">
        <v>625</v>
      </c>
      <c r="G156" s="2" t="s">
        <v>631</v>
      </c>
    </row>
    <row r="157" spans="1:7" x14ac:dyDescent="0.15">
      <c r="A157" s="2" t="s">
        <v>0</v>
      </c>
      <c r="B157" s="2" t="s">
        <v>601</v>
      </c>
      <c r="C157" s="2">
        <v>2030</v>
      </c>
      <c r="D157" s="2" t="s">
        <v>629</v>
      </c>
      <c r="E157" s="2">
        <v>48</v>
      </c>
      <c r="F157" s="2" t="s">
        <v>625</v>
      </c>
      <c r="G157" s="2" t="s">
        <v>639</v>
      </c>
    </row>
    <row r="158" spans="1:7" x14ac:dyDescent="0.15">
      <c r="A158" s="2" t="s">
        <v>0</v>
      </c>
      <c r="B158" s="2" t="s">
        <v>601</v>
      </c>
      <c r="C158" s="2">
        <v>2030</v>
      </c>
      <c r="D158" s="2" t="s">
        <v>630</v>
      </c>
      <c r="E158" s="2">
        <v>15.1</v>
      </c>
      <c r="F158" s="2" t="s">
        <v>625</v>
      </c>
      <c r="G158" s="2" t="s">
        <v>640</v>
      </c>
    </row>
    <row r="159" spans="1:7" x14ac:dyDescent="0.15">
      <c r="A159" s="2" t="s">
        <v>0</v>
      </c>
      <c r="B159" s="2" t="s">
        <v>641</v>
      </c>
      <c r="C159" s="2" t="s">
        <v>642</v>
      </c>
      <c r="D159" s="2" t="s">
        <v>582</v>
      </c>
      <c r="E159" s="2">
        <v>665</v>
      </c>
      <c r="F159" s="2" t="s">
        <v>643</v>
      </c>
      <c r="G159" s="2" t="s">
        <v>644</v>
      </c>
    </row>
    <row r="160" spans="1:7" x14ac:dyDescent="0.15">
      <c r="A160" s="2" t="s">
        <v>0</v>
      </c>
      <c r="B160" s="2" t="s">
        <v>645</v>
      </c>
      <c r="C160" s="2">
        <v>2025</v>
      </c>
      <c r="D160" s="2" t="s">
        <v>582</v>
      </c>
      <c r="E160" s="2">
        <v>40</v>
      </c>
      <c r="F160" s="2" t="s">
        <v>643</v>
      </c>
      <c r="G160" s="2" t="s">
        <v>646</v>
      </c>
    </row>
    <row r="161" spans="1:7" x14ac:dyDescent="0.15">
      <c r="A161" s="2" t="s">
        <v>0</v>
      </c>
      <c r="B161" s="2" t="s">
        <v>581</v>
      </c>
      <c r="C161" s="2">
        <v>2025</v>
      </c>
      <c r="D161" s="2" t="s">
        <v>582</v>
      </c>
      <c r="E161" s="2">
        <v>-8</v>
      </c>
      <c r="F161" s="2" t="s">
        <v>643</v>
      </c>
      <c r="G161" s="2" t="s">
        <v>647</v>
      </c>
    </row>
    <row r="162" spans="1:7" x14ac:dyDescent="0.15">
      <c r="A162" s="2" t="s">
        <v>0</v>
      </c>
      <c r="B162" s="2" t="s">
        <v>581</v>
      </c>
      <c r="C162" s="2">
        <v>2026</v>
      </c>
      <c r="D162" s="2" t="s">
        <v>582</v>
      </c>
      <c r="E162" s="2">
        <v>-25</v>
      </c>
      <c r="F162" s="2" t="s">
        <v>643</v>
      </c>
      <c r="G162" s="2" t="s">
        <v>648</v>
      </c>
    </row>
    <row r="163" spans="1:7" x14ac:dyDescent="0.15">
      <c r="A163" s="2" t="s">
        <v>0</v>
      </c>
      <c r="B163" s="2" t="s">
        <v>581</v>
      </c>
      <c r="C163" s="2">
        <v>2027</v>
      </c>
      <c r="D163" s="2" t="s">
        <v>582</v>
      </c>
      <c r="E163" s="2">
        <v>-57</v>
      </c>
      <c r="F163" s="2" t="s">
        <v>643</v>
      </c>
      <c r="G163" s="2" t="s">
        <v>649</v>
      </c>
    </row>
    <row r="164" spans="1:7" x14ac:dyDescent="0.15">
      <c r="A164" s="2" t="s">
        <v>0</v>
      </c>
      <c r="B164" s="2" t="s">
        <v>581</v>
      </c>
      <c r="C164" s="2">
        <v>2030</v>
      </c>
      <c r="D164" s="2" t="s">
        <v>582</v>
      </c>
      <c r="E164" s="2">
        <v>40</v>
      </c>
      <c r="F164" s="2" t="s">
        <v>643</v>
      </c>
      <c r="G164" s="2" t="s">
        <v>650</v>
      </c>
    </row>
    <row r="165" spans="1:7" x14ac:dyDescent="0.15">
      <c r="A165" s="2" t="s">
        <v>0</v>
      </c>
      <c r="B165" s="2" t="s">
        <v>651</v>
      </c>
      <c r="C165" s="2" t="s">
        <v>642</v>
      </c>
      <c r="D165" s="2" t="s">
        <v>582</v>
      </c>
      <c r="E165" s="2">
        <v>111</v>
      </c>
      <c r="F165" s="2" t="s">
        <v>643</v>
      </c>
      <c r="G165" s="2" t="s">
        <v>652</v>
      </c>
    </row>
    <row r="166" spans="1:7" x14ac:dyDescent="0.15">
      <c r="A166" s="2" t="s">
        <v>0</v>
      </c>
      <c r="B166" s="2" t="s">
        <v>653</v>
      </c>
      <c r="C166" s="2">
        <v>2025</v>
      </c>
      <c r="D166" s="2" t="s">
        <v>582</v>
      </c>
      <c r="E166" s="2">
        <v>8</v>
      </c>
      <c r="F166" s="2" t="s">
        <v>643</v>
      </c>
      <c r="G166" s="2" t="s">
        <v>654</v>
      </c>
    </row>
    <row r="167" spans="1:7" x14ac:dyDescent="0.15">
      <c r="A167" s="2" t="s">
        <v>0</v>
      </c>
      <c r="B167" s="2" t="s">
        <v>653</v>
      </c>
      <c r="C167" s="2">
        <v>2025</v>
      </c>
      <c r="D167" s="2" t="s">
        <v>655</v>
      </c>
      <c r="E167" s="2">
        <v>4.5</v>
      </c>
      <c r="F167" s="2" t="s">
        <v>643</v>
      </c>
      <c r="G167" s="2" t="s">
        <v>656</v>
      </c>
    </row>
    <row r="168" spans="1:7" x14ac:dyDescent="0.15">
      <c r="A168" s="2" t="s">
        <v>0</v>
      </c>
      <c r="B168" s="2" t="s">
        <v>653</v>
      </c>
      <c r="C168" s="2">
        <v>2026</v>
      </c>
      <c r="D168" s="2" t="s">
        <v>582</v>
      </c>
      <c r="E168" s="2">
        <v>14</v>
      </c>
      <c r="F168" s="2" t="s">
        <v>643</v>
      </c>
      <c r="G168" s="2" t="s">
        <v>657</v>
      </c>
    </row>
    <row r="169" spans="1:7" x14ac:dyDescent="0.15">
      <c r="A169" s="2" t="s">
        <v>0</v>
      </c>
      <c r="B169" s="2" t="s">
        <v>653</v>
      </c>
      <c r="C169" s="2">
        <v>2027</v>
      </c>
      <c r="D169" s="2" t="s">
        <v>582</v>
      </c>
      <c r="E169" s="2">
        <v>26</v>
      </c>
      <c r="F169" s="2" t="s">
        <v>643</v>
      </c>
      <c r="G169" s="2" t="s">
        <v>658</v>
      </c>
    </row>
    <row r="170" spans="1:7" x14ac:dyDescent="0.15">
      <c r="A170" s="2" t="s">
        <v>0</v>
      </c>
      <c r="B170" s="2" t="s">
        <v>591</v>
      </c>
      <c r="C170" s="2">
        <v>2025</v>
      </c>
      <c r="D170" s="2" t="s">
        <v>582</v>
      </c>
      <c r="E170" s="2">
        <v>8.3000000000000007</v>
      </c>
      <c r="F170" s="2" t="s">
        <v>643</v>
      </c>
      <c r="G170" s="2" t="s">
        <v>659</v>
      </c>
    </row>
    <row r="171" spans="1:7" x14ac:dyDescent="0.15">
      <c r="A171" s="2" t="s">
        <v>0</v>
      </c>
      <c r="B171" s="2" t="s">
        <v>591</v>
      </c>
      <c r="C171" s="2">
        <v>2026</v>
      </c>
      <c r="D171" s="2" t="s">
        <v>582</v>
      </c>
      <c r="E171" s="2">
        <v>32</v>
      </c>
      <c r="F171" s="2" t="s">
        <v>643</v>
      </c>
      <c r="G171" s="2" t="s">
        <v>660</v>
      </c>
    </row>
    <row r="172" spans="1:7" x14ac:dyDescent="0.15">
      <c r="A172" s="2" t="s">
        <v>0</v>
      </c>
      <c r="B172" s="2" t="s">
        <v>591</v>
      </c>
      <c r="C172" s="2">
        <v>2027</v>
      </c>
      <c r="D172" s="2" t="s">
        <v>582</v>
      </c>
      <c r="E172" s="2">
        <v>65</v>
      </c>
      <c r="F172" s="2" t="s">
        <v>643</v>
      </c>
      <c r="G172" s="2" t="s">
        <v>660</v>
      </c>
    </row>
    <row r="173" spans="1:7" x14ac:dyDescent="0.15">
      <c r="A173" s="2" t="s">
        <v>0</v>
      </c>
      <c r="B173" s="2" t="s">
        <v>661</v>
      </c>
      <c r="C173" s="2" t="s">
        <v>642</v>
      </c>
      <c r="D173" s="2" t="s">
        <v>582</v>
      </c>
      <c r="E173" s="2">
        <v>440</v>
      </c>
      <c r="F173" s="2" t="s">
        <v>643</v>
      </c>
      <c r="G173" s="2" t="s">
        <v>662</v>
      </c>
    </row>
    <row r="174" spans="1:7" x14ac:dyDescent="0.15">
      <c r="A174" s="2" t="s">
        <v>0</v>
      </c>
      <c r="B174" s="2" t="s">
        <v>601</v>
      </c>
      <c r="C174" s="2">
        <v>2025</v>
      </c>
      <c r="D174" s="2" t="s">
        <v>582</v>
      </c>
      <c r="E174" s="2">
        <v>13.1</v>
      </c>
      <c r="F174" s="2" t="s">
        <v>643</v>
      </c>
      <c r="G174" s="2" t="s">
        <v>663</v>
      </c>
    </row>
    <row r="175" spans="1:7" x14ac:dyDescent="0.15">
      <c r="A175" s="2" t="s">
        <v>0</v>
      </c>
      <c r="B175" s="2" t="s">
        <v>601</v>
      </c>
      <c r="C175" s="2">
        <v>2026</v>
      </c>
      <c r="D175" s="2" t="s">
        <v>582</v>
      </c>
      <c r="E175" s="2">
        <v>30</v>
      </c>
      <c r="F175" s="2" t="s">
        <v>643</v>
      </c>
      <c r="G175" s="2" t="s">
        <v>664</v>
      </c>
    </row>
    <row r="176" spans="1:7" x14ac:dyDescent="0.15">
      <c r="A176" s="2" t="s">
        <v>0</v>
      </c>
      <c r="B176" s="2" t="s">
        <v>601</v>
      </c>
      <c r="C176" s="2">
        <v>2027</v>
      </c>
      <c r="D176" s="2" t="s">
        <v>582</v>
      </c>
      <c r="E176" s="2">
        <v>62</v>
      </c>
      <c r="F176" s="2" t="s">
        <v>643</v>
      </c>
      <c r="G176" s="2" t="s">
        <v>665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Anthropic</vt:lpstr>
      <vt:lpstr>OpenAI</vt:lpstr>
      <vt:lpstr>Z.ai</vt:lpstr>
      <vt:lpstr>Minimax</vt:lpstr>
      <vt:lpstr>Margin Model</vt:lpstr>
      <vt:lpstr>Sources &gt;&gt;</vt:lpstr>
      <vt:lpstr>GLM-5.2 Combined</vt:lpstr>
      <vt:lpstr>Ed Zitron Work</vt:lpstr>
      <vt:lpstr>Press Pull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Zhu</dc:creator>
  <cp:lastModifiedBy>Jenny Zhu</cp:lastModifiedBy>
  <dcterms:created xsi:type="dcterms:W3CDTF">2026-06-23T17:39:31Z</dcterms:created>
  <dcterms:modified xsi:type="dcterms:W3CDTF">2026-07-02T15:49:40Z</dcterms:modified>
</cp:coreProperties>
</file>